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activeX/activeX2.bin" ContentType="application/vnd.ms-office.activeX"/>
  <Override PartName="/xl/activeX/activeX2.xml" ContentType="application/vnd.ms-office.activeX+xml"/>
  <Override PartName="/docProps/app.xml" ContentType="application/vnd.openxmlformats-officedocument.extended-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BHS\MH\MHSA\Michael Sheridan\Website uploads\Policies and Procedures\"/>
    </mc:Choice>
  </mc:AlternateContent>
  <bookViews>
    <workbookView xWindow="0" yWindow="0" windowWidth="18210" windowHeight="4020" tabRatio="895" firstSheet="5" activeTab="5"/>
  </bookViews>
  <sheets>
    <sheet name="Sheet7" sheetId="16" state="hidden" r:id="rId1"/>
    <sheet name="Source_Occupancy" sheetId="13" state="hidden" r:id="rId2"/>
    <sheet name="60%" sheetId="7" state="hidden" r:id="rId3"/>
    <sheet name="70%" sheetId="8" state="hidden" r:id="rId4"/>
    <sheet name="80%" sheetId="9" state="hidden" r:id="rId5"/>
    <sheet name="Rental Calculator" sheetId="22" r:id="rId6"/>
    <sheet name="FMRZIP_AMI" sheetId="11" state="hidden" r:id="rId7"/>
    <sheet name="Utility Max Calculator" sheetId="30" r:id="rId8"/>
    <sheet name="Area Descriptions" sheetId="28" r:id="rId9"/>
    <sheet name="Cells notes (hide)" sheetId="29" state="hidden" r:id="rId10"/>
    <sheet name="Notes" sheetId="10" state="hidden" r:id="rId11"/>
    <sheet name="Rent Reasonableness Worksheet" sheetId="31" state="hidden" r:id="rId12"/>
    <sheet name="OCCUPANCY_days in month" sheetId="15" state="hidden" r:id="rId13"/>
  </sheets>
  <definedNames>
    <definedName name="_xlnm.Print_Area" localSheetId="2">'60%'!$A$1:$I$60</definedName>
    <definedName name="_xlnm.Print_Area" localSheetId="3">'70%'!$A$1:$I$60</definedName>
    <definedName name="_xlnm.Print_Area" localSheetId="4">'80%'!$A$1:$I$60</definedName>
    <definedName name="_xlnm.Print_Area" localSheetId="8">'Area Descriptions'!$A$1:$B$51</definedName>
    <definedName name="_xlnm.Print_Area" localSheetId="11">'Rent Reasonableness Worksheet'!$A$1:$E$37</definedName>
    <definedName name="_xlnm.Print_Area" localSheetId="5">'Rental Calculator'!$A$1:$J$74</definedName>
    <definedName name="_xlnm.Print_Area" localSheetId="7">'Utility Max Calculator'!$A$1:$Q$40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22" l="1"/>
  <c r="H61" i="22" l="1"/>
  <c r="F6" i="22"/>
  <c r="F7" i="22" l="1"/>
  <c r="J40" i="30" l="1"/>
  <c r="K40" i="30" s="1"/>
  <c r="G46" i="22"/>
  <c r="I34" i="22" l="1"/>
  <c r="I35" i="22" s="1"/>
  <c r="I47" i="22"/>
  <c r="I12" i="22" l="1"/>
  <c r="I13" i="22"/>
  <c r="I14" i="22"/>
  <c r="I15" i="22"/>
  <c r="I16" i="22"/>
  <c r="I17" i="22"/>
  <c r="I11" i="22"/>
  <c r="I18" i="22" l="1"/>
  <c r="I19" i="22" s="1"/>
  <c r="H32" i="22"/>
  <c r="H33" i="22"/>
  <c r="G49" i="22"/>
  <c r="G56" i="22"/>
  <c r="F66" i="22"/>
  <c r="E60" i="22"/>
  <c r="H59" i="22"/>
  <c r="H60" i="22"/>
  <c r="G53" i="22"/>
  <c r="I55" i="22"/>
  <c r="E53" i="22"/>
  <c r="E46" i="22"/>
  <c r="D18" i="22" l="1"/>
  <c r="I48" i="22" l="1"/>
  <c r="H48" i="22" s="1"/>
  <c r="I25" i="22"/>
  <c r="I23" i="22"/>
  <c r="H8" i="22" l="1"/>
  <c r="J28" i="30" l="1"/>
  <c r="J27" i="30"/>
  <c r="XFD66" i="22" l="1"/>
  <c r="A20" i="22" l="1"/>
  <c r="I24" i="22"/>
  <c r="I22" i="22"/>
  <c r="I26" i="22" s="1"/>
  <c r="F8" i="22"/>
  <c r="H35" i="22" s="1"/>
  <c r="E38" i="22" l="1"/>
  <c r="G8" i="22"/>
  <c r="I28" i="22"/>
  <c r="I29" i="22" s="1"/>
  <c r="F38" i="22" l="1"/>
  <c r="I48" i="16"/>
  <c r="I40" i="16"/>
  <c r="I35" i="16"/>
  <c r="C36" i="16" s="1"/>
  <c r="I23" i="16"/>
  <c r="I19" i="16"/>
  <c r="F12" i="16"/>
  <c r="F11" i="16"/>
  <c r="F10" i="16"/>
  <c r="F7" i="16"/>
  <c r="E7" i="16"/>
  <c r="G7" i="16" s="1"/>
  <c r="E5" i="16"/>
  <c r="I30" i="22" l="1"/>
  <c r="I14" i="16"/>
  <c r="C16" i="16" s="1"/>
  <c r="G36" i="16"/>
  <c r="I39" i="22" l="1"/>
  <c r="I25" i="16"/>
  <c r="I26" i="16" s="1"/>
  <c r="I40" i="22" l="1"/>
  <c r="I49" i="22" s="1"/>
  <c r="XFD64" i="22"/>
  <c r="I27" i="16"/>
  <c r="I30" i="16" s="1"/>
  <c r="I41" i="16" s="1"/>
  <c r="I48" i="9"/>
  <c r="I40" i="9"/>
  <c r="G36" i="9"/>
  <c r="I35" i="9"/>
  <c r="C36" i="9" s="1"/>
  <c r="I19" i="9"/>
  <c r="I23" i="9" s="1"/>
  <c r="F12" i="9"/>
  <c r="F11" i="9"/>
  <c r="F10" i="9"/>
  <c r="I48" i="8"/>
  <c r="I40" i="8"/>
  <c r="G36" i="8"/>
  <c r="I35" i="8"/>
  <c r="C36" i="8" s="1"/>
  <c r="I19" i="8"/>
  <c r="I23" i="8" s="1"/>
  <c r="F12" i="8"/>
  <c r="F11" i="8"/>
  <c r="F10" i="8"/>
  <c r="I48" i="7"/>
  <c r="I40" i="7"/>
  <c r="G36" i="7"/>
  <c r="C36" i="7"/>
  <c r="I35" i="7"/>
  <c r="I19" i="7"/>
  <c r="I23" i="7" s="1"/>
  <c r="F12" i="7"/>
  <c r="F11" i="7"/>
  <c r="F10" i="7"/>
  <c r="I14" i="7" s="1"/>
  <c r="I42" i="22" l="1"/>
  <c r="I67" i="22" s="1"/>
  <c r="I56" i="22"/>
  <c r="I57" i="22" s="1"/>
  <c r="I50" i="22"/>
  <c r="XFD65" i="22"/>
  <c r="XFD67" i="22" s="1"/>
  <c r="XFD68" i="22" s="1"/>
  <c r="I42" i="16"/>
  <c r="I52" i="16" s="1"/>
  <c r="I51" i="16"/>
  <c r="I14" i="9"/>
  <c r="I25" i="9" s="1"/>
  <c r="I26" i="9" s="1"/>
  <c r="I14" i="8"/>
  <c r="I25" i="8"/>
  <c r="I26" i="8" s="1"/>
  <c r="C16" i="8"/>
  <c r="I25" i="7"/>
  <c r="I26" i="7" s="1"/>
  <c r="C16" i="7"/>
  <c r="I69" i="22" l="1"/>
  <c r="I27" i="9"/>
  <c r="I30" i="9" s="1"/>
  <c r="I41" i="9" s="1"/>
  <c r="I27" i="7"/>
  <c r="I30" i="7" s="1"/>
  <c r="I41" i="7" s="1"/>
  <c r="I30" i="8"/>
  <c r="I41" i="8" s="1"/>
  <c r="I27" i="8"/>
  <c r="C16" i="9"/>
  <c r="I42" i="9" l="1"/>
  <c r="I52" i="9" s="1"/>
  <c r="I51" i="9"/>
  <c r="I42" i="7"/>
  <c r="I52" i="7" s="1"/>
  <c r="I51" i="7"/>
  <c r="I42" i="8"/>
  <c r="I52" i="8" s="1"/>
  <c r="I51" i="8"/>
  <c r="A68" i="22" l="1"/>
  <c r="I63" i="22"/>
  <c r="A70" i="22" l="1"/>
</calcChain>
</file>

<file path=xl/comments1.xml><?xml version="1.0" encoding="utf-8"?>
<comments xmlns="http://schemas.openxmlformats.org/spreadsheetml/2006/main">
  <authors>
    <author>Green. Sheri (BHS)</author>
    <author>FocusPC37</author>
    <author>Bauer. Jessica</author>
  </authors>
  <commentList>
    <comment ref="A7" authorId="0" shapeId="0">
      <text>
        <r>
          <rPr>
            <b/>
            <sz val="9"/>
            <color indexed="81"/>
            <rFont val="Tahoma"/>
            <family val="2"/>
          </rPr>
          <t>Green. Sheri (BHS):</t>
        </r>
        <r>
          <rPr>
            <sz val="9"/>
            <color indexed="81"/>
            <rFont val="Tahoma"/>
            <family val="2"/>
          </rPr>
          <t xml:space="preserve">
Children under 18 share unless contraindicated clinically</t>
        </r>
      </text>
    </comment>
    <comment ref="B22" authorId="1" shapeId="0">
      <text>
        <r>
          <rPr>
            <sz val="9"/>
            <color indexed="81"/>
            <rFont val="Tahoma"/>
            <family val="2"/>
          </rPr>
          <t xml:space="preserve">Enter the number of dependent minors under the age of 18 in the yellow box. </t>
        </r>
      </text>
    </comment>
    <comment ref="B24" authorId="1" shapeId="0">
      <text>
        <r>
          <rPr>
            <sz val="9"/>
            <color indexed="81"/>
            <rFont val="Tahoma"/>
            <family val="2"/>
          </rPr>
          <t>Enter the number of adults 65 and older in the household</t>
        </r>
      </text>
    </comment>
    <comment ref="B25" authorId="1" shapeId="0">
      <text>
        <r>
          <rPr>
            <sz val="9"/>
            <color indexed="81"/>
            <rFont val="Tahoma"/>
            <family val="2"/>
          </rPr>
          <t>Enter the annual amount of legal restitution ordered by court, child support, any legal fees ordered by a court that lack of payment could result in arrest or further legal consequences, must provide documentation</t>
        </r>
      </text>
    </comment>
    <comment ref="B33" authorId="0" shapeId="0">
      <text>
        <r>
          <rPr>
            <b/>
            <sz val="9"/>
            <color indexed="81"/>
            <rFont val="Tahoma"/>
            <family val="2"/>
          </rPr>
          <t>Green. Sheri (BHS):</t>
        </r>
        <r>
          <rPr>
            <sz val="9"/>
            <color indexed="81"/>
            <rFont val="Tahoma"/>
            <family val="2"/>
          </rPr>
          <t xml:space="preserve">
enter 0 if utility payments are not made to the landlord</t>
        </r>
      </text>
    </comment>
    <comment ref="B34" authorId="1" shapeId="0">
      <text>
        <r>
          <rPr>
            <sz val="9"/>
            <color indexed="81"/>
            <rFont val="Tahoma"/>
            <family val="2"/>
          </rPr>
          <t>If total amount of allowable utilities is unknown, enter estimate based on Utility max calculator tab</t>
        </r>
      </text>
    </comment>
    <comment ref="B38" authorId="2" shapeId="0">
      <text>
        <r>
          <rPr>
            <b/>
            <sz val="9"/>
            <color indexed="81"/>
            <rFont val="Tahoma"/>
            <family val="2"/>
          </rPr>
          <t>Bauer. Jessica:</t>
        </r>
        <r>
          <rPr>
            <sz val="9"/>
            <color indexed="81"/>
            <rFont val="Tahoma"/>
            <family val="2"/>
          </rPr>
          <t xml:space="preserve">
Should be the lower of Fair Market Rent or Rent Plus Utilities.  Any amount over fair market rent should have a supervisor's approval and justification documented in chart</t>
        </r>
      </text>
    </comment>
    <comment ref="E66" authorId="2" shapeId="0">
      <text>
        <r>
          <rPr>
            <b/>
            <sz val="9"/>
            <color indexed="81"/>
            <rFont val="Tahoma"/>
            <family val="2"/>
          </rPr>
          <t>Bauer. Jessica:</t>
        </r>
        <r>
          <rPr>
            <sz val="9"/>
            <color indexed="81"/>
            <rFont val="Tahoma"/>
            <family val="2"/>
          </rPr>
          <t xml:space="preserve">
# of months of rental assistance in housing plan that are </t>
        </r>
        <r>
          <rPr>
            <u/>
            <sz val="9"/>
            <color indexed="81"/>
            <rFont val="Tahoma"/>
            <family val="2"/>
          </rPr>
          <t>not</t>
        </r>
        <r>
          <rPr>
            <sz val="9"/>
            <color indexed="81"/>
            <rFont val="Tahoma"/>
            <family val="2"/>
          </rPr>
          <t xml:space="preserve"> prorated</t>
        </r>
      </text>
    </comment>
  </commentList>
</comments>
</file>

<file path=xl/comments2.xml><?xml version="1.0" encoding="utf-8"?>
<comments xmlns="http://schemas.openxmlformats.org/spreadsheetml/2006/main">
  <authors>
    <author>Bauer. Jessica</author>
  </authors>
  <commentList>
    <comment ref="K2" authorId="0" shapeId="0">
      <text>
        <r>
          <rPr>
            <b/>
            <sz val="9"/>
            <color indexed="81"/>
            <rFont val="Tahoma"/>
            <family val="2"/>
          </rPr>
          <t>Bauer. Jessica:</t>
        </r>
        <r>
          <rPr>
            <sz val="9"/>
            <color indexed="81"/>
            <rFont val="Tahoma"/>
            <family val="2"/>
          </rPr>
          <t xml:space="preserve">
Do not include room and boards, co-ops and SROs
</t>
        </r>
      </text>
    </comment>
  </commentList>
</comments>
</file>

<file path=xl/comments3.xml><?xml version="1.0" encoding="utf-8"?>
<comments xmlns="http://schemas.openxmlformats.org/spreadsheetml/2006/main">
  <authors>
    <author>Green. Sheri (BHS)</author>
  </authors>
  <commentList>
    <comment ref="A26" authorId="0" shapeId="0">
      <text>
        <r>
          <rPr>
            <b/>
            <sz val="9"/>
            <color indexed="81"/>
            <rFont val="Tahoma"/>
            <family val="2"/>
          </rPr>
          <t>Green. Sheri (BHS):</t>
        </r>
        <r>
          <rPr>
            <sz val="9"/>
            <color indexed="81"/>
            <rFont val="Tahoma"/>
            <family val="2"/>
          </rPr>
          <t xml:space="preserve">
enter 0 if landlord does not set the cost of utilities</t>
        </r>
      </text>
    </comment>
  </commentList>
</comments>
</file>

<file path=xl/sharedStrings.xml><?xml version="1.0" encoding="utf-8"?>
<sst xmlns="http://schemas.openxmlformats.org/spreadsheetml/2006/main" count="681" uniqueCount="343">
  <si>
    <t>c.  Equals landlord subsidy</t>
  </si>
  <si>
    <t>c.  Security deposit assistance</t>
  </si>
  <si>
    <t>d.  First and last month's rent</t>
  </si>
  <si>
    <t>e.  Credit check assistance</t>
  </si>
  <si>
    <t>Total Annual Income all sources:</t>
  </si>
  <si>
    <t>Out of pocket childcare expenses (provide documentation)</t>
  </si>
  <si>
    <t>a.  Contract Rent</t>
  </si>
  <si>
    <t>c.  Equals gross rent</t>
  </si>
  <si>
    <t>x 12 =</t>
  </si>
  <si>
    <t>TOTAL:</t>
  </si>
  <si>
    <t>)</t>
  </si>
  <si>
    <t xml:space="preserve">may not exceed rent standard of </t>
  </si>
  <si>
    <t>d.  Gross rent of</t>
  </si>
  <si>
    <t>b.  Landlord subsidy (line 8c)</t>
  </si>
  <si>
    <t xml:space="preserve">Dependent deductions ($480 x </t>
  </si>
  <si>
    <t xml:space="preserve">     for county? </t>
  </si>
  <si>
    <t>If YES stop here - household does not qualify for assistance.</t>
  </si>
  <si>
    <t>Amount</t>
  </si>
  <si>
    <t xml:space="preserve">Source      </t>
  </si>
  <si>
    <t>b.  Plus utilities or utility allowance (Actual or Housing Authority Calculation)</t>
  </si>
  <si>
    <t>a.  Equals tenant payment</t>
  </si>
  <si>
    <t>persons</t>
  </si>
  <si>
    <t>HH Size</t>
  </si>
  <si>
    <t>Median Income</t>
  </si>
  <si>
    <t>bedrooms</t>
  </si>
  <si>
    <t>Bedrooms</t>
  </si>
  <si>
    <t>1. Household size</t>
  </si>
  <si>
    <t>2. Bedrooms in unit</t>
  </si>
  <si>
    <t>3. Monthly Income:</t>
  </si>
  <si>
    <t>4.  50% of Gross Median Income test: does family's gross income exceed 50% of median income</t>
  </si>
  <si>
    <t>11.  Summary of program assistance:</t>
  </si>
  <si>
    <t>Month</t>
  </si>
  <si>
    <t>Day</t>
  </si>
  <si>
    <t>January</t>
  </si>
  <si>
    <t>February</t>
  </si>
  <si>
    <t>March</t>
  </si>
  <si>
    <t>April</t>
  </si>
  <si>
    <t>May</t>
  </si>
  <si>
    <t>June</t>
  </si>
  <si>
    <t>July</t>
  </si>
  <si>
    <t>August</t>
  </si>
  <si>
    <t>September</t>
  </si>
  <si>
    <t>October</t>
  </si>
  <si>
    <t>December</t>
  </si>
  <si>
    <t>Multiplier</t>
  </si>
  <si>
    <r>
      <t xml:space="preserve">10. Pro-rated amount </t>
    </r>
    <r>
      <rPr>
        <b/>
        <u/>
        <sz val="10"/>
        <rFont val="Arial"/>
        <family val="2"/>
      </rPr>
      <t>if move-in NOT on the first day of the month</t>
    </r>
  </si>
  <si>
    <t>FMR</t>
  </si>
  <si>
    <t>Yes</t>
  </si>
  <si>
    <t>No</t>
  </si>
  <si>
    <t>a. Do you want to pro-rate the first month's rent?</t>
  </si>
  <si>
    <t>b. Move-in date</t>
  </si>
  <si>
    <r>
      <t xml:space="preserve">6.  Calculation of </t>
    </r>
    <r>
      <rPr>
        <b/>
        <sz val="10"/>
        <rFont val="Arial"/>
        <family val="2"/>
      </rPr>
      <t>30%</t>
    </r>
    <r>
      <rPr>
        <sz val="10"/>
        <rFont val="Arial"/>
        <family val="2"/>
      </rPr>
      <t xml:space="preserve"> of adjusted income</t>
    </r>
  </si>
  <si>
    <t>a.  Tenant payment (line 7c minus utility alownace)</t>
  </si>
  <si>
    <r>
      <t xml:space="preserve">7.  Calculation of tenant payment </t>
    </r>
    <r>
      <rPr>
        <b/>
        <u/>
        <sz val="10"/>
        <rFont val="Arial"/>
        <family val="2"/>
      </rPr>
      <t>if tenant pays no utilities</t>
    </r>
    <r>
      <rPr>
        <sz val="10"/>
        <rFont val="Arial"/>
        <family val="2"/>
      </rPr>
      <t>:</t>
    </r>
  </si>
  <si>
    <t>b.  Less tenant payment (with utility allowance)</t>
  </si>
  <si>
    <t>November</t>
  </si>
  <si>
    <t>*Rent Standard =100% of FMR for County based on bedroom units.</t>
  </si>
  <si>
    <t>2016 Whatcom County FMR (100%)</t>
  </si>
  <si>
    <t>Joe Cool</t>
  </si>
  <si>
    <t>TANF</t>
  </si>
  <si>
    <t>2016 Whatcom County Income Limits</t>
  </si>
  <si>
    <t>Rent Subsidy Calculator for Whatcom Homeless Service Center (revised 3/30/16)</t>
  </si>
  <si>
    <t>Other required restitution (provide documentation)</t>
  </si>
  <si>
    <t>8.  Rent Ceiling Check</t>
  </si>
  <si>
    <t>9.  Calculation of  subsidy:</t>
  </si>
  <si>
    <t>Tenant Name/ID Number:</t>
  </si>
  <si>
    <t>Elderly deduction (elderly, disabled only) ($400 per household) x</t>
  </si>
  <si>
    <t>g. Equals total program assistance</t>
  </si>
  <si>
    <t>f.  Other assistance:</t>
  </si>
  <si>
    <t xml:space="preserve">Prepared by: </t>
  </si>
  <si>
    <t xml:space="preserve">Date: </t>
  </si>
  <si>
    <t>a.  Adjusted Income (Total of monthly income less deductions)</t>
  </si>
  <si>
    <t xml:space="preserve">5.  Less Deductions: </t>
  </si>
  <si>
    <t>b.  Monthly Adjusted Income (adjusted income divided by 12)</t>
  </si>
  <si>
    <r>
      <t xml:space="preserve">c.  Equals </t>
    </r>
    <r>
      <rPr>
        <b/>
        <sz val="10"/>
        <rFont val="Arial"/>
        <family val="2"/>
      </rPr>
      <t>60%</t>
    </r>
    <r>
      <rPr>
        <sz val="10"/>
        <rFont val="Arial"/>
        <family val="2"/>
      </rPr>
      <t xml:space="preserve"> of adjusted income (monthly adjusted income (6b) times .60)</t>
    </r>
  </si>
  <si>
    <r>
      <t xml:space="preserve">c.  Equals </t>
    </r>
    <r>
      <rPr>
        <b/>
        <sz val="10"/>
        <rFont val="Arial"/>
        <family val="2"/>
      </rPr>
      <t>70%</t>
    </r>
    <r>
      <rPr>
        <sz val="10"/>
        <rFont val="Arial"/>
        <family val="2"/>
      </rPr>
      <t xml:space="preserve"> of adjusted income (monthly adjusted income (6b) times .70)</t>
    </r>
  </si>
  <si>
    <r>
      <t xml:space="preserve">c.  Equals </t>
    </r>
    <r>
      <rPr>
        <b/>
        <sz val="10"/>
        <rFont val="Arial"/>
        <family val="2"/>
      </rPr>
      <t>80%</t>
    </r>
    <r>
      <rPr>
        <sz val="10"/>
        <rFont val="Arial"/>
        <family val="2"/>
      </rPr>
      <t xml:space="preserve"> of adjusted income (monthly adjusted income (6b) times .80)</t>
    </r>
  </si>
  <si>
    <t>https://www.huduser.gov/portal/datasets/il/il2019/2019MedCalc.odn?inputname=Sacramento+County&amp;area_id=METRO40900M40900&amp;fips=%24fips%24&amp;type=%24type%24&amp;year=2019&amp;yy=19&amp;stname=California&amp;stusps=%24stusps%24&amp;statefp=06&amp;incpath=%24incpath%24</t>
  </si>
  <si>
    <t>HUD median family income limits for Sacramento CA</t>
  </si>
  <si>
    <t>HUD fair market rent</t>
  </si>
  <si>
    <t>https://www.huduser.gov/portal/datasets/fmr/fmrs/FY2020_code/select_Geography.odn</t>
  </si>
  <si>
    <t>ZIP Code</t>
  </si>
  <si>
    <t>2019 Sacramento Median Family Inc</t>
  </si>
  <si>
    <t>2a. Zip Code</t>
  </si>
  <si>
    <t>x</t>
  </si>
  <si>
    <t>y</t>
  </si>
  <si>
    <t>Results</t>
  </si>
  <si>
    <t>*Rent Standard =100% of FMR for zip code based on bedroom units.</t>
  </si>
  <si>
    <t>Lookup FMRZIP based on zip/bedrooms (Hide from user)</t>
  </si>
  <si>
    <t>1 person</t>
  </si>
  <si>
    <t>2 people</t>
  </si>
  <si>
    <t>3 people</t>
  </si>
  <si>
    <t>5 people</t>
  </si>
  <si>
    <t>7 people</t>
  </si>
  <si>
    <t>4 people</t>
  </si>
  <si>
    <t>9 people</t>
  </si>
  <si>
    <t>Min</t>
  </si>
  <si>
    <t>Max</t>
  </si>
  <si>
    <t>People</t>
  </si>
  <si>
    <t>Min Bed</t>
  </si>
  <si>
    <t>Max Bed</t>
  </si>
  <si>
    <t>9.  Calculation of  Monthly subsidy:</t>
  </si>
  <si>
    <r>
      <t>c.  Equals 8</t>
    </r>
    <r>
      <rPr>
        <b/>
        <sz val="10"/>
        <rFont val="Arial"/>
        <family val="2"/>
      </rPr>
      <t>0%</t>
    </r>
    <r>
      <rPr>
        <sz val="10"/>
        <rFont val="Arial"/>
        <family val="2"/>
      </rPr>
      <t xml:space="preserve"> of adjusted income (monthly adjusted income (6b) times .80)</t>
    </r>
  </si>
  <si>
    <t>a.  Adjusted Income (Total of annual income less deductions)</t>
  </si>
  <si>
    <t>b.  Monthly Adjusted Income (adjusted annual income divided by 12)</t>
  </si>
  <si>
    <t xml:space="preserve">Day  </t>
  </si>
  <si>
    <t xml:space="preserve">Month  </t>
  </si>
  <si>
    <t>Any children and adults in the permanent household, do not include visitors or temporary stays</t>
  </si>
  <si>
    <t>Calculated by the tool</t>
  </si>
  <si>
    <t>Annual cost of daycare - must provide receipt, invoice, etc.</t>
  </si>
  <si>
    <t>Number of adults 65 and older in the household</t>
  </si>
  <si>
    <t>Annual cost of legal restitution ordered by court, child support, any legal fees ordered by a court that lack of payment could result in arrest or further legal consequences, must provide documentation</t>
  </si>
  <si>
    <t>Maximum amount of funds client expected to contribute to monthly rent and utilities</t>
  </si>
  <si>
    <t>Select whether or not your program will pro-rate the first month's rent</t>
  </si>
  <si>
    <t>Confirmed move in date as indicated on the lease/rental agreement</t>
  </si>
  <si>
    <t>Calculated by the tool - rent to be paid by the client</t>
  </si>
  <si>
    <t>Calculated by the tool - rent to be paid by the program</t>
  </si>
  <si>
    <t>a.  Security deposit assistance</t>
  </si>
  <si>
    <t>d.  Other assistance:</t>
  </si>
  <si>
    <t xml:space="preserve">Enter the number of dependent minors under the age of 18 in the yellow box. </t>
  </si>
  <si>
    <t>5a Dependent Deductions</t>
  </si>
  <si>
    <t>Field</t>
  </si>
  <si>
    <t>Text</t>
  </si>
  <si>
    <t>Enter the number of adults 65 and older in the household</t>
  </si>
  <si>
    <t>Enter the annual amount of legal restitution ordered by court, child support, any legal fees ordered by a court that lack of payment could result in arrest or further legal consequences, must provide documentation</t>
  </si>
  <si>
    <t>5c Elderly Deduction</t>
  </si>
  <si>
    <t>5d Other required restitution</t>
  </si>
  <si>
    <t>If total amount of allowable utilities is unknown, enter estimate based on….</t>
  </si>
  <si>
    <t>8b Plus utilities or utility allowance</t>
  </si>
  <si>
    <t>Yearly Income</t>
  </si>
  <si>
    <t xml:space="preserve"> 50% of Gross Median Income test: does family's gross income exceed 50% of median income for county</t>
  </si>
  <si>
    <t>Total Annual Income All Sources:</t>
  </si>
  <si>
    <t>*Released 11/2019 - Next Update 7/31/2022</t>
  </si>
  <si>
    <t>Type of Residence:</t>
  </si>
  <si>
    <t>Natural Gas</t>
  </si>
  <si>
    <t xml:space="preserve">Electric </t>
  </si>
  <si>
    <t>Heating</t>
  </si>
  <si>
    <t>Cooking</t>
  </si>
  <si>
    <t>Other Electric (Lights/Appliances)</t>
  </si>
  <si>
    <t>Air Conditioning</t>
  </si>
  <si>
    <t>Water Heating</t>
  </si>
  <si>
    <t>Water, Sewer, Trash Collection</t>
  </si>
  <si>
    <t>Water (Avg)</t>
  </si>
  <si>
    <t>Sewer</t>
  </si>
  <si>
    <t>Trash Collection</t>
  </si>
  <si>
    <t>Tenant-supplied Appliances</t>
  </si>
  <si>
    <r>
      <t>Range.Microwave</t>
    </r>
    <r>
      <rPr>
        <b/>
        <sz val="10"/>
        <rFont val="Arial"/>
        <family val="2"/>
      </rPr>
      <t xml:space="preserve"> Tenant-Supplied</t>
    </r>
  </si>
  <si>
    <t>Electric</t>
  </si>
  <si>
    <t>Apartment</t>
  </si>
  <si>
    <t>House</t>
  </si>
  <si>
    <t># of Bedrooms:</t>
  </si>
  <si>
    <t>Heating:</t>
  </si>
  <si>
    <t>Cooking:</t>
  </si>
  <si>
    <t>Water Heating:</t>
  </si>
  <si>
    <t>Utility Allowances</t>
  </si>
  <si>
    <t>$400 x</t>
  </si>
  <si>
    <t>2020 Sacramento Median Family Inc</t>
  </si>
  <si>
    <t>Current Date:</t>
  </si>
  <si>
    <t>Zip Code of Residence:</t>
  </si>
  <si>
    <t>Agency and Program Name:</t>
  </si>
  <si>
    <t xml:space="preserve"> $480 x</t>
  </si>
  <si>
    <r>
      <t xml:space="preserve">c.  Utility allowance (use Utility Max Calculator tab for utility costs that are </t>
    </r>
    <r>
      <rPr>
        <u/>
        <sz val="10"/>
        <rFont val="Arial"/>
        <family val="2"/>
      </rPr>
      <t>not</t>
    </r>
    <r>
      <rPr>
        <sz val="10"/>
        <rFont val="Arial"/>
        <family val="2"/>
      </rPr>
      <t xml:space="preserve"> pre-set by the landlord)</t>
    </r>
  </si>
  <si>
    <t>feb</t>
  </si>
  <si>
    <t>a. Duration of Rental Assistance in this Housing Plan (mos)</t>
  </si>
  <si>
    <t>Move in date:</t>
  </si>
  <si>
    <t>Housing Plan End Date:</t>
  </si>
  <si>
    <t>mar</t>
  </si>
  <si>
    <t>apr</t>
  </si>
  <si>
    <t>Up to:</t>
  </si>
  <si>
    <t>total</t>
  </si>
  <si>
    <t>minus pro</t>
  </si>
  <si>
    <t>b. Move-out date</t>
  </si>
  <si>
    <t>Utility Allowance Grand Total :</t>
  </si>
  <si>
    <t>Area II: Monthly Income</t>
  </si>
  <si>
    <t xml:space="preserve">Area III. Less Annual Deductions: </t>
  </si>
  <si>
    <t>Area IV: 30% of Adjusted Income Calculation for Client Payment</t>
  </si>
  <si>
    <t>Area V: Fair Market Rent Reference Check</t>
  </si>
  <si>
    <t>e. Maximum initial and one-time financial assistance Contractor can pay:</t>
  </si>
  <si>
    <t>Justification for any changes from maximums:</t>
  </si>
  <si>
    <t xml:space="preserve">Staff Signature: </t>
  </si>
  <si>
    <t>Client Name and Avatar Number:</t>
  </si>
  <si>
    <t>Supervisor Sig.:</t>
  </si>
  <si>
    <t>c.  Client Share of Rent</t>
  </si>
  <si>
    <t>b.  Client Share of Utilities</t>
  </si>
  <si>
    <t>d. Other required monthly restitution (provide documentation)</t>
  </si>
  <si>
    <r>
      <t xml:space="preserve">d.  Equals Rent plus Utilities:    </t>
    </r>
    <r>
      <rPr>
        <i/>
        <sz val="10"/>
        <rFont val="Arial"/>
        <family val="2"/>
      </rPr>
      <t xml:space="preserve"> </t>
    </r>
  </si>
  <si>
    <t>(should not exceed fair market rent of:)</t>
  </si>
  <si>
    <t>Choose One</t>
  </si>
  <si>
    <t>Area VIII: Client Housing Plan Duration, Frequency of Assistance and Total</t>
  </si>
  <si>
    <t xml:space="preserve">c. Pro-rated Rent and Utility </t>
  </si>
  <si>
    <t>Age</t>
  </si>
  <si>
    <t>Name of All People This Plan Supports</t>
  </si>
  <si>
    <t>Income Source(s)</t>
  </si>
  <si>
    <t># of People this Plan Supports in Res.:</t>
  </si>
  <si>
    <t>d. Total Assistance in This Plan</t>
  </si>
  <si>
    <t>*Enter 0 for Minors or Full Time Students who are a dependent of the (co)head of household</t>
  </si>
  <si>
    <t>Minors may be listed on one line</t>
  </si>
  <si>
    <t>a. Will the client move in on the 1st of the month?</t>
  </si>
  <si>
    <t>a. Will the Client move out on the last day of the month?</t>
  </si>
  <si>
    <t>Section 1. Pro-rating the 1st Month</t>
  </si>
  <si>
    <t>Section 2. Pro-rating the last month</t>
  </si>
  <si>
    <t>Section 3.  Additional housing financial assistance:</t>
  </si>
  <si>
    <r>
      <t xml:space="preserve">b. Total # of months of full rent (Do </t>
    </r>
    <r>
      <rPr>
        <b/>
        <u/>
        <sz val="9.5"/>
        <rFont val="Arial"/>
        <family val="2"/>
      </rPr>
      <t>not</t>
    </r>
    <r>
      <rPr>
        <sz val="9.5"/>
        <rFont val="Arial"/>
        <family val="2"/>
      </rPr>
      <t xml:space="preserve"> include prorated months)</t>
    </r>
  </si>
  <si>
    <t>c. Total Ongoing Monthly Rental Assistance for Duration of Housing Plan</t>
  </si>
  <si>
    <t>Area VII: Pro-Rated Monthly Assistance</t>
  </si>
  <si>
    <t>Area VI: Calculation of Monthly Assistance</t>
  </si>
  <si>
    <t>c. Pro-rated Client Share of Rent and Utilities</t>
  </si>
  <si>
    <t>d.  Value of the voucher, enter 0 if there is no housing voucher</t>
  </si>
  <si>
    <r>
      <t xml:space="preserve">d. Maximum Pro-rated </t>
    </r>
    <r>
      <rPr>
        <b/>
        <u/>
        <sz val="10"/>
        <rFont val="Arial"/>
        <family val="2"/>
      </rPr>
      <t>Last</t>
    </r>
    <r>
      <rPr>
        <b/>
        <sz val="10"/>
        <rFont val="Arial"/>
        <family val="2"/>
      </rPr>
      <t xml:space="preserve"> Mo. Assistance Contractor Can Pay, Less Client Payments:</t>
    </r>
  </si>
  <si>
    <r>
      <t xml:space="preserve">d. Maximum Pro-rated </t>
    </r>
    <r>
      <rPr>
        <b/>
        <u/>
        <sz val="10"/>
        <rFont val="Arial"/>
        <family val="2"/>
      </rPr>
      <t>1st</t>
    </r>
    <r>
      <rPr>
        <b/>
        <sz val="10"/>
        <rFont val="Arial"/>
        <family val="2"/>
      </rPr>
      <t xml:space="preserve"> Mo. Assistance Contractor Can Pay, Less Client Payments:</t>
    </r>
  </si>
  <si>
    <t>Total Annual Deductions (capped at income):</t>
  </si>
  <si>
    <r>
      <rPr>
        <sz val="10"/>
        <color rgb="FF7030A0"/>
        <rFont val="Arial"/>
        <family val="2"/>
      </rPr>
      <t>*</t>
    </r>
    <r>
      <rPr>
        <sz val="8"/>
        <color rgb="FF7030A0"/>
        <rFont val="Arial"/>
        <family val="2"/>
      </rPr>
      <t>Include dependent Full Time Students of the (co)head of household</t>
    </r>
  </si>
  <si>
    <t>RENT REASONABLE CHECKLIST AND CERTIFICATION</t>
  </si>
  <si>
    <t>Proposed Unit</t>
  </si>
  <si>
    <t>Unit #1</t>
  </si>
  <si>
    <t>Unit #2</t>
  </si>
  <si>
    <t>Unit #3</t>
  </si>
  <si>
    <t>I certifiy that I am not a HUD certified inspector and I have evaluated the property located at the above address to the best of my ability and find the following:</t>
  </si>
  <si>
    <t>B. Rent Reasonableness</t>
  </si>
  <si>
    <t>Signature:_____________________</t>
  </si>
  <si>
    <t>Date: _____________</t>
  </si>
  <si>
    <t>Address:</t>
  </si>
  <si>
    <t>Number of Bedrooms:</t>
  </si>
  <si>
    <t>Square Feet:</t>
  </si>
  <si>
    <t>Type of Unit/Construction:</t>
  </si>
  <si>
    <t>Housing Condition:</t>
  </si>
  <si>
    <t>Location/Accessibility:</t>
  </si>
  <si>
    <t>Age in Years:</t>
  </si>
  <si>
    <t>Handicap Accessible?:</t>
  </si>
  <si>
    <t>Most Recently Charged Rent For Proposed Unit:</t>
  </si>
  <si>
    <t xml:space="preserve">$ </t>
  </si>
  <si>
    <t>Reason for
 Change:</t>
  </si>
  <si>
    <t>Utilities (type):</t>
  </si>
  <si>
    <r>
      <rPr>
        <i/>
        <sz val="10"/>
        <rFont val="Arial"/>
        <family val="2"/>
      </rPr>
      <t>CERTIFICATION:</t>
    </r>
    <r>
      <rPr>
        <sz val="10"/>
        <rFont val="Arial"/>
        <family val="2"/>
      </rPr>
      <t xml:space="preserve">
</t>
    </r>
    <r>
      <rPr>
        <b/>
        <sz val="10"/>
        <rFont val="Arial"/>
        <family val="2"/>
      </rPr>
      <t>A. Compliance with Payment Standard</t>
    </r>
  </si>
  <si>
    <t>Amenities</t>
  </si>
  <si>
    <t>Unit:</t>
  </si>
  <si>
    <t>Neighborhood:</t>
  </si>
  <si>
    <t>Site:</t>
  </si>
  <si>
    <t>Utility Allowance:</t>
  </si>
  <si>
    <t>Unit Rent:</t>
  </si>
  <si>
    <t>Gross Rent:</t>
  </si>
  <si>
    <t>Proposed Gross Rent</t>
  </si>
  <si>
    <t xml:space="preserve">Utility Allowance   </t>
  </si>
  <si>
    <t>= $$$$</t>
  </si>
  <si>
    <t>*Approved rent does not exceed applicable Payment Standard of:</t>
  </si>
  <si>
    <t>Printed Name: ___________________</t>
  </si>
  <si>
    <t>Contract Rent                             +</t>
  </si>
  <si>
    <r>
      <rPr>
        <sz val="10"/>
        <color rgb="FFFF0000"/>
        <rFont val="Arial"/>
        <family val="2"/>
      </rPr>
      <t>*</t>
    </r>
    <r>
      <rPr>
        <sz val="10"/>
        <rFont val="Arial"/>
        <family val="2"/>
      </rPr>
      <t xml:space="preserve"> Other local resources may be used to obtain information, e.g.: market surveys, classified ads.</t>
    </r>
  </si>
  <si>
    <r>
      <t xml:space="preserve">Based upon a comparison with rents for comparable units, I have determined that the proposed rent for the unit __________ IS _________IS NOT reasonable. </t>
    </r>
    <r>
      <rPr>
        <b/>
        <sz val="10"/>
        <rFont val="Arial"/>
        <family val="2"/>
      </rPr>
      <t xml:space="preserve"> (Check One)</t>
    </r>
  </si>
  <si>
    <t>Stove Type Cooking</t>
  </si>
  <si>
    <t>Duplex</t>
  </si>
  <si>
    <t>Room and Board</t>
  </si>
  <si>
    <t>Unknown</t>
  </si>
  <si>
    <t>Area I: Rental Assistance Calculator for Sacramento</t>
  </si>
  <si>
    <t>Studios, singles in R+B or SRO enter 0</t>
  </si>
  <si>
    <t>Trash</t>
  </si>
  <si>
    <t>Electric Infrastructure Charge</t>
  </si>
  <si>
    <t>Electric Surcharge</t>
  </si>
  <si>
    <t>Tenant-Supplied Range or Microwave</t>
  </si>
  <si>
    <r>
      <t xml:space="preserve">Refrigerator </t>
    </r>
    <r>
      <rPr>
        <b/>
        <sz val="10"/>
        <rFont val="Arial"/>
        <family val="2"/>
      </rPr>
      <t>Tenant-Supplied</t>
    </r>
  </si>
  <si>
    <t>Tenant-Supplied Refrigerator</t>
  </si>
  <si>
    <t>Cooling</t>
  </si>
  <si>
    <t>Water:</t>
  </si>
  <si>
    <t>Choose One:</t>
  </si>
  <si>
    <t>e. Maximum Monthly Assistance the Contractor Can Pay:</t>
  </si>
  <si>
    <t>b. Monthly out of pocket childcare/child support expenses (provide documentation)</t>
  </si>
  <si>
    <t>Eligible Client?</t>
  </si>
  <si>
    <t>Based on SHRAs 2019 Payment Standards</t>
  </si>
  <si>
    <t>a.  Cost for only the Unit's Rent</t>
  </si>
  <si>
    <t>b.  1st &amp; last month's rent (if not prorated above)</t>
  </si>
  <si>
    <t>c.  One time over due housing assistance payments</t>
  </si>
  <si>
    <t>Basic internet is only allowable if it's connected directly to preventing or resolving homelessness, e.g.  applying for jobs, online education, etc. with clinical justification and included in the Client Housing Plan.</t>
  </si>
  <si>
    <t>Studio</t>
  </si>
  <si>
    <t># Bedrooms in Res (Children under 18 share):</t>
  </si>
  <si>
    <t>a. *Number of dependent deductions</t>
  </si>
  <si>
    <t>c. Number of elderly or disabled deductions</t>
  </si>
  <si>
    <t xml:space="preserve">Area I: </t>
  </si>
  <si>
    <t>Area II:</t>
  </si>
  <si>
    <t>Area III:</t>
  </si>
  <si>
    <t>Area IV:</t>
  </si>
  <si>
    <t xml:space="preserve">Area V: </t>
  </si>
  <si>
    <t># of Bedrooms in Res:</t>
  </si>
  <si>
    <t>Maximum Client Payment for Rent Utilities:</t>
  </si>
  <si>
    <t>Area VI:</t>
  </si>
  <si>
    <t>Area VII: Initial/One-time Subsidy amount (complete top portion of tool prior to entry in this section)</t>
  </si>
  <si>
    <t>Number of dependent deductions:</t>
  </si>
  <si>
    <t>Monthly out of pocket childcare/child support expenses:</t>
  </si>
  <si>
    <t>Number of elderly or disabled deductions:</t>
  </si>
  <si>
    <t>Other required monthly restitution:</t>
  </si>
  <si>
    <t>Adj income &amp; Monthly Adj. Income:</t>
  </si>
  <si>
    <t>Cost for only the Unit's Rent:</t>
  </si>
  <si>
    <t>Cost of total utilities that are pre-set by landlord:</t>
  </si>
  <si>
    <t>Utility allowance:</t>
  </si>
  <si>
    <t xml:space="preserve">Equals Rent plus Utilities:     </t>
  </si>
  <si>
    <t>Additional  supports to house  clients</t>
  </si>
  <si>
    <t>Total required 1st and last month rent if not prorated</t>
  </si>
  <si>
    <t>Total cost for past due rent</t>
  </si>
  <si>
    <t>Beginning and end of contracted rental agreement</t>
  </si>
  <si>
    <t>Total months of rental assistance - DO NOT INCLUDE PRORATED MONTHS</t>
  </si>
  <si>
    <t># of People this Plan Supports in Res:</t>
  </si>
  <si>
    <t>Client Share of Utilities:</t>
  </si>
  <si>
    <t>Client Share of Rent:</t>
  </si>
  <si>
    <t>Maximum Monthly Assistance:</t>
  </si>
  <si>
    <t>Pro-rating the 1st Month:</t>
  </si>
  <si>
    <t>Move-in Date:</t>
  </si>
  <si>
    <t>Prorated Client Share:</t>
  </si>
  <si>
    <t>Prorated 1st Month Assistance:</t>
  </si>
  <si>
    <t>Security deposit assistance:</t>
  </si>
  <si>
    <t>1st &amp; last month's rent:</t>
  </si>
  <si>
    <t>One time over due housing assistance payments:</t>
  </si>
  <si>
    <t>Duration of Rental Assistance in this Housing Plan:</t>
  </si>
  <si>
    <t>Total # of months of full rent:</t>
  </si>
  <si>
    <t>Total Ongoing Monthly Rental Assistance for Duration of Housing Plan:</t>
  </si>
  <si>
    <t>Total Assistance in This Plan:</t>
  </si>
  <si>
    <t>Enter the total number of bedrooms in the unit.  The tool calculates how many bedrooms a household can qualify for in red, use the recommendation indicated in red</t>
  </si>
  <si>
    <t>zip code of household's unit to which rental assistance will be applied</t>
  </si>
  <si>
    <t>Name, age and eligibility of All People This Plan Supports:</t>
  </si>
  <si>
    <t>Monthly pre-tax income</t>
  </si>
  <si>
    <t>If there are more than one source of income for one person, add all of those pre-tax amounts together and enter into the monthly cell</t>
  </si>
  <si>
    <t>Enter all individuals' names.  Minors can be listed on one line with information separated by commas to save space</t>
  </si>
  <si>
    <t>Income source</t>
  </si>
  <si>
    <t>List income from all sources, e.g. SSI, SSDI, GA, employment income, child support, etc.</t>
  </si>
  <si>
    <t xml:space="preserve">Yellow box: Number of minors who are dependents of the household under the age of 18 </t>
  </si>
  <si>
    <t>Amount of monthly rent as indicated on lease or contract</t>
  </si>
  <si>
    <t>Total cost of monthly utilities that the landlord charges the client (basic phone landline, gas, electric, and water also sewer and trash if required by lease)</t>
  </si>
  <si>
    <t xml:space="preserve">Any allowable utilities that are not part set by the landlord, utilize the Utility calculator tab </t>
  </si>
  <si>
    <t>Calculated by the tool-the is the monthly assistance allowable for rent and utilities</t>
  </si>
  <si>
    <t>List:</t>
  </si>
  <si>
    <t>Other assistance (include landlord incentives):</t>
  </si>
  <si>
    <t>list the additional items and then enter total amount for other assistance</t>
  </si>
  <si>
    <r>
      <t xml:space="preserve">Rent Assistance Calculator Tool
</t>
    </r>
    <r>
      <rPr>
        <sz val="9"/>
        <rFont val="Times New Roman"/>
        <family val="1"/>
      </rPr>
      <t xml:space="preserve">Fill in Yellow Cells
</t>
    </r>
    <r>
      <rPr>
        <sz val="9"/>
        <color rgb="FFC00000"/>
        <rFont val="Times New Roman"/>
        <family val="1"/>
      </rPr>
      <t>Hidden areas will activate as the user enters information into yellow cells</t>
    </r>
  </si>
  <si>
    <t>Single Room Occupancy (SRO)</t>
  </si>
  <si>
    <t>Type of residence</t>
  </si>
  <si>
    <t>Enter the type of residence that most closely fits the living situation</t>
  </si>
  <si>
    <t>Co-op</t>
  </si>
  <si>
    <r>
      <t>Apartment</t>
    </r>
    <r>
      <rPr>
        <b/>
        <sz val="10"/>
        <color rgb="FFC00000"/>
        <rFont val="Arial"/>
        <family val="2"/>
      </rPr>
      <t>*</t>
    </r>
  </si>
  <si>
    <t>House, Duplex, Town House*</t>
  </si>
  <si>
    <t>a.  Max Rent + Utilities Approved by Agency Supv.</t>
  </si>
  <si>
    <t>Area Descriptions</t>
  </si>
  <si>
    <r>
      <t xml:space="preserve">        Monthly </t>
    </r>
    <r>
      <rPr>
        <b/>
        <u/>
        <sz val="9"/>
        <rFont val="Arial"/>
        <family val="2"/>
      </rPr>
      <t>Pre-</t>
    </r>
    <r>
      <rPr>
        <b/>
        <sz val="9"/>
        <rFont val="Arial"/>
        <family val="2"/>
      </rPr>
      <t>Tax Pay</t>
    </r>
    <r>
      <rPr>
        <b/>
        <sz val="9"/>
        <color theme="7" tint="-0.249977111117893"/>
        <rFont val="Arial"/>
        <family val="2"/>
      </rPr>
      <t>*</t>
    </r>
  </si>
  <si>
    <r>
      <t xml:space="preserve">Minimum Client Payment for Rent and Utilities </t>
    </r>
    <r>
      <rPr>
        <sz val="8"/>
        <rFont val="Arial"/>
        <family val="2"/>
      </rPr>
      <t>(30% of Monthly Adjusted Income):</t>
    </r>
  </si>
  <si>
    <t>b:  Cost of total utilities that are pre-set and paid to the landlord separately from rent</t>
  </si>
  <si>
    <t>Generally, room and boards, co-ops and SROs have utilities included in the cost of rent and therefore should NOT be calculated here.  If not, choose apartment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</si>
</sst>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quot;$&quot;#,##0"/>
    <numFmt numFmtId="166" formatCode="0.0000"/>
    <numFmt numFmtId="167" formatCode="&quot;$&quot;#,##0.00"/>
  </numFmts>
  <fonts count="5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sz val="10"/>
      <color indexed="30"/>
      <name val="Arial"/>
      <family val="2"/>
    </font>
    <font>
      <b/>
      <u/>
      <sz val="10"/>
      <name val="Arial"/>
      <family val="2"/>
    </font>
    <font>
      <sz val="10"/>
      <color indexed="9"/>
      <name val="Arial"/>
      <family val="2"/>
    </font>
    <font>
      <sz val="10"/>
      <name val="Arial"/>
      <family val="2"/>
    </font>
    <font>
      <sz val="10"/>
      <color theme="0" tint="-0.249977111117893"/>
      <name val="Arial"/>
      <family val="2"/>
    </font>
    <font>
      <sz val="10"/>
      <color rgb="FFFF0000"/>
      <name val="Arial"/>
      <family val="2"/>
    </font>
    <font>
      <b/>
      <sz val="10"/>
      <color theme="0"/>
      <name val="Arial"/>
      <family val="2"/>
    </font>
    <font>
      <sz val="10"/>
      <color theme="0"/>
      <name val="Arial"/>
      <family val="2"/>
    </font>
    <font>
      <u/>
      <sz val="10"/>
      <color theme="10"/>
      <name val="Arial"/>
      <family val="2"/>
    </font>
    <font>
      <sz val="14"/>
      <color rgb="FF333333"/>
      <name val="Arial"/>
      <family val="2"/>
    </font>
    <font>
      <u/>
      <sz val="11"/>
      <color theme="10"/>
      <name val="Calibri"/>
      <family val="2"/>
    </font>
    <font>
      <sz val="11"/>
      <name val="Calibri"/>
      <family val="2"/>
      <scheme val="minor"/>
    </font>
    <font>
      <i/>
      <sz val="10"/>
      <name val="Arial"/>
      <family val="2"/>
    </font>
    <font>
      <sz val="10"/>
      <color theme="0" tint="-0.24994659260841701"/>
      <name val="Arial"/>
      <family val="2"/>
    </font>
    <font>
      <sz val="9"/>
      <color indexed="81"/>
      <name val="Tahoma"/>
      <family val="2"/>
    </font>
    <font>
      <b/>
      <sz val="11"/>
      <color theme="1"/>
      <name val="Calibri"/>
      <family val="2"/>
      <scheme val="minor"/>
    </font>
    <font>
      <b/>
      <sz val="9"/>
      <color indexed="81"/>
      <name val="Tahoma"/>
      <family val="2"/>
    </font>
    <font>
      <sz val="8"/>
      <name val="Arial"/>
      <family val="2"/>
    </font>
    <font>
      <b/>
      <sz val="10"/>
      <color rgb="FFC00000"/>
      <name val="Arial"/>
      <family val="2"/>
    </font>
    <font>
      <u/>
      <sz val="10"/>
      <name val="Arial"/>
      <family val="2"/>
    </font>
    <font>
      <sz val="9"/>
      <name val="Arial"/>
      <family val="2"/>
    </font>
    <font>
      <sz val="11"/>
      <color theme="4" tint="-0.249977111117893"/>
      <name val="Arial"/>
      <family val="2"/>
    </font>
    <font>
      <u/>
      <sz val="9"/>
      <color indexed="81"/>
      <name val="Tahoma"/>
      <family val="2"/>
    </font>
    <font>
      <sz val="8"/>
      <color rgb="FF7030A0"/>
      <name val="Arial"/>
      <family val="2"/>
    </font>
    <font>
      <sz val="10"/>
      <color rgb="FF7030A0"/>
      <name val="Arial"/>
      <family val="2"/>
    </font>
    <font>
      <sz val="9.5"/>
      <name val="Arial"/>
      <family val="2"/>
    </font>
    <font>
      <b/>
      <u/>
      <sz val="9.5"/>
      <name val="Arial"/>
      <family val="2"/>
    </font>
    <font>
      <b/>
      <sz val="9.5"/>
      <name val="Arial"/>
      <family val="2"/>
    </font>
    <font>
      <i/>
      <sz val="10"/>
      <color rgb="FFC00000"/>
      <name val="Arial"/>
      <family val="2"/>
    </font>
    <font>
      <b/>
      <sz val="14"/>
      <name val="Times New Roman"/>
      <family val="1"/>
    </font>
    <font>
      <sz val="9"/>
      <name val="Times New Roman"/>
      <family val="1"/>
    </font>
    <font>
      <sz val="8"/>
      <color theme="7" tint="-0.249977111117893"/>
      <name val="Arial"/>
      <family val="2"/>
    </font>
    <font>
      <sz val="10"/>
      <color rgb="FFC00000"/>
      <name val="Arial"/>
      <family val="2"/>
    </font>
    <font>
      <sz val="9"/>
      <color rgb="FFC00000"/>
      <name val="Arial"/>
      <family val="2"/>
    </font>
    <font>
      <i/>
      <sz val="8"/>
      <color rgb="FFC00000"/>
      <name val="Arial"/>
      <family val="2"/>
    </font>
    <font>
      <sz val="11"/>
      <color rgb="FFC00000"/>
      <name val="Arial"/>
      <family val="2"/>
    </font>
    <font>
      <sz val="8"/>
      <color rgb="FFC00000"/>
      <name val="Arial"/>
      <family val="2"/>
    </font>
    <font>
      <b/>
      <sz val="9"/>
      <name val="Arial"/>
      <family val="2"/>
    </font>
    <font>
      <b/>
      <sz val="9"/>
      <color theme="7" tint="-0.249977111117893"/>
      <name val="Arial"/>
      <family val="2"/>
    </font>
    <font>
      <b/>
      <u/>
      <sz val="9"/>
      <name val="Arial"/>
      <family val="2"/>
    </font>
    <font>
      <sz val="10"/>
      <name val="&amp;quot"/>
    </font>
    <font>
      <sz val="10"/>
      <color theme="1"/>
      <name val="Arial"/>
      <family val="2"/>
    </font>
    <font>
      <b/>
      <u/>
      <sz val="10"/>
      <color theme="1"/>
      <name val="Arial"/>
      <family val="2"/>
    </font>
    <font>
      <sz val="9"/>
      <color rgb="FFC00000"/>
      <name val="Times New Roman"/>
      <family val="1"/>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EFF8BA"/>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12">
    <xf numFmtId="0" fontId="0" fillId="0" borderId="0"/>
    <xf numFmtId="44"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27" applyNumberFormat="0" applyFill="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453">
    <xf numFmtId="0" fontId="0" fillId="0" borderId="0" xfId="0"/>
    <xf numFmtId="0" fontId="0" fillId="0" borderId="0" xfId="0" applyBorder="1"/>
    <xf numFmtId="0" fontId="4" fillId="0" borderId="0" xfId="0" applyFont="1"/>
    <xf numFmtId="0" fontId="3" fillId="0" borderId="0" xfId="0" applyFont="1"/>
    <xf numFmtId="0" fontId="0" fillId="2" borderId="0" xfId="0" applyFill="1"/>
    <xf numFmtId="0" fontId="3" fillId="2" borderId="0" xfId="0" applyFont="1" applyFill="1"/>
    <xf numFmtId="0" fontId="0" fillId="2" borderId="4" xfId="0" applyFill="1" applyBorder="1"/>
    <xf numFmtId="0" fontId="0" fillId="2" borderId="0" xfId="0" applyFill="1" applyBorder="1"/>
    <xf numFmtId="0" fontId="0" fillId="2" borderId="0" xfId="0" applyFill="1" applyBorder="1" applyAlignment="1">
      <alignment horizontal="center"/>
    </xf>
    <xf numFmtId="40" fontId="0" fillId="2" borderId="1" xfId="0" applyNumberFormat="1" applyFill="1" applyBorder="1"/>
    <xf numFmtId="0" fontId="5" fillId="2" borderId="0" xfId="0" applyFont="1" applyFill="1" applyBorder="1"/>
    <xf numFmtId="0" fontId="0" fillId="2" borderId="3"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10" fontId="3" fillId="2" borderId="0" xfId="2" applyNumberFormat="1" applyFont="1" applyFill="1"/>
    <xf numFmtId="0" fontId="4" fillId="2" borderId="0" xfId="0" applyFont="1" applyFill="1" applyBorder="1"/>
    <xf numFmtId="0" fontId="0" fillId="2" borderId="0" xfId="0" applyFont="1" applyFill="1"/>
    <xf numFmtId="0" fontId="6" fillId="2" borderId="0" xfId="0" applyFont="1" applyFill="1" applyBorder="1"/>
    <xf numFmtId="0" fontId="0" fillId="2" borderId="1" xfId="0" applyFill="1" applyBorder="1" applyAlignment="1">
      <alignment horizontal="center"/>
    </xf>
    <xf numFmtId="164" fontId="3" fillId="2" borderId="0" xfId="0" applyNumberFormat="1" applyFont="1" applyFill="1"/>
    <xf numFmtId="40" fontId="4" fillId="2" borderId="1" xfId="0" applyNumberFormat="1" applyFont="1" applyFill="1" applyBorder="1"/>
    <xf numFmtId="164" fontId="0" fillId="2" borderId="0" xfId="1" applyNumberFormat="1" applyFont="1" applyFill="1" applyBorder="1"/>
    <xf numFmtId="0" fontId="3" fillId="2" borderId="4" xfId="0" applyFont="1" applyFill="1" applyBorder="1"/>
    <xf numFmtId="0" fontId="3" fillId="2" borderId="0" xfId="0" applyFont="1" applyFill="1" applyBorder="1"/>
    <xf numFmtId="0" fontId="11" fillId="2" borderId="0" xfId="0" applyFont="1" applyFill="1"/>
    <xf numFmtId="0" fontId="9" fillId="2" borderId="0" xfId="0" applyFont="1" applyFill="1"/>
    <xf numFmtId="40" fontId="7" fillId="2" borderId="1" xfId="0" applyNumberFormat="1" applyFont="1" applyFill="1" applyBorder="1"/>
    <xf numFmtId="0" fontId="7" fillId="2" borderId="0" xfId="0" applyFont="1" applyFill="1" applyBorder="1"/>
    <xf numFmtId="0" fontId="4" fillId="2" borderId="4" xfId="0" applyFont="1" applyFill="1" applyBorder="1"/>
    <xf numFmtId="0" fontId="4" fillId="2" borderId="0" xfId="0" applyFont="1" applyFill="1"/>
    <xf numFmtId="40" fontId="0" fillId="2" borderId="0" xfId="0" applyNumberFormat="1" applyFill="1"/>
    <xf numFmtId="0" fontId="10" fillId="2" borderId="0" xfId="0" applyFont="1" applyFill="1"/>
    <xf numFmtId="0" fontId="0" fillId="3" borderId="8" xfId="0" applyFill="1" applyBorder="1" applyProtection="1">
      <protection locked="0"/>
    </xf>
    <xf numFmtId="0" fontId="12" fillId="0" borderId="4" xfId="0" applyFont="1" applyFill="1" applyBorder="1" applyAlignment="1">
      <alignment horizontal="center"/>
    </xf>
    <xf numFmtId="164" fontId="12" fillId="0" borderId="1" xfId="1" applyNumberFormat="1" applyFont="1" applyFill="1" applyBorder="1"/>
    <xf numFmtId="0" fontId="12" fillId="0" borderId="5" xfId="0" applyFont="1" applyFill="1" applyBorder="1" applyAlignment="1">
      <alignment horizontal="center"/>
    </xf>
    <xf numFmtId="164" fontId="12" fillId="0" borderId="2" xfId="1" applyNumberFormat="1" applyFont="1" applyFill="1" applyBorder="1"/>
    <xf numFmtId="9" fontId="0" fillId="4" borderId="8" xfId="0" applyNumberFormat="1" applyFill="1" applyBorder="1" applyAlignment="1">
      <alignment horizontal="center"/>
    </xf>
    <xf numFmtId="44" fontId="0" fillId="3" borderId="8" xfId="1" applyFont="1" applyFill="1" applyBorder="1" applyProtection="1">
      <protection locked="0"/>
    </xf>
    <xf numFmtId="44" fontId="0" fillId="4" borderId="12" xfId="1" applyFont="1" applyFill="1" applyBorder="1" applyProtection="1">
      <protection locked="0"/>
    </xf>
    <xf numFmtId="44" fontId="0" fillId="4" borderId="8" xfId="1" applyFont="1" applyFill="1" applyBorder="1" applyProtection="1">
      <protection locked="0"/>
    </xf>
    <xf numFmtId="44" fontId="0" fillId="4" borderId="13" xfId="1" applyFont="1" applyFill="1" applyBorder="1" applyProtection="1">
      <protection locked="0"/>
    </xf>
    <xf numFmtId="44" fontId="0" fillId="4" borderId="8" xfId="1" applyFont="1" applyFill="1" applyBorder="1"/>
    <xf numFmtId="0" fontId="3" fillId="3" borderId="8" xfId="0" applyFont="1" applyFill="1" applyBorder="1"/>
    <xf numFmtId="0" fontId="3" fillId="3" borderId="8" xfId="0" applyFont="1" applyFill="1" applyBorder="1" applyProtection="1">
      <protection locked="0"/>
    </xf>
    <xf numFmtId="0" fontId="5" fillId="3" borderId="8" xfId="0" applyFont="1" applyFill="1" applyBorder="1" applyAlignment="1" applyProtection="1">
      <alignment horizontal="left"/>
      <protection locked="0"/>
    </xf>
    <xf numFmtId="0" fontId="3" fillId="2" borderId="5" xfId="0" applyFont="1" applyFill="1" applyBorder="1"/>
    <xf numFmtId="0" fontId="3" fillId="2" borderId="7" xfId="0" applyFont="1" applyFill="1" applyBorder="1" applyProtection="1">
      <protection locked="0"/>
    </xf>
    <xf numFmtId="44" fontId="0" fillId="4" borderId="12" xfId="1" applyFont="1" applyFill="1" applyBorder="1"/>
    <xf numFmtId="44" fontId="4" fillId="4" borderId="8" xfId="1" applyFont="1" applyFill="1" applyBorder="1"/>
    <xf numFmtId="44" fontId="0" fillId="4" borderId="15" xfId="1" applyFont="1" applyFill="1" applyBorder="1"/>
    <xf numFmtId="0" fontId="0" fillId="3" borderId="8" xfId="0" applyFill="1" applyBorder="1"/>
    <xf numFmtId="44" fontId="5" fillId="4" borderId="8" xfId="1" applyFont="1" applyFill="1" applyBorder="1"/>
    <xf numFmtId="44" fontId="4" fillId="4" borderId="17" xfId="1" applyFont="1" applyFill="1" applyBorder="1"/>
    <xf numFmtId="44" fontId="0" fillId="3" borderId="15" xfId="1" applyFont="1" applyFill="1" applyBorder="1"/>
    <xf numFmtId="44" fontId="4" fillId="4" borderId="12" xfId="1" applyFont="1" applyFill="1" applyBorder="1"/>
    <xf numFmtId="44" fontId="0" fillId="3" borderId="8" xfId="1" applyFont="1" applyFill="1" applyBorder="1"/>
    <xf numFmtId="44" fontId="0" fillId="4" borderId="14" xfId="1" applyFont="1" applyFill="1" applyBorder="1" applyProtection="1">
      <protection locked="0"/>
    </xf>
    <xf numFmtId="44" fontId="0" fillId="4" borderId="16" xfId="1" applyFont="1" applyFill="1" applyBorder="1"/>
    <xf numFmtId="44" fontId="4" fillId="3" borderId="8" xfId="1" applyFont="1" applyFill="1" applyBorder="1" applyProtection="1">
      <protection locked="0"/>
    </xf>
    <xf numFmtId="44" fontId="4" fillId="4" borderId="8" xfId="1" applyFont="1" applyFill="1" applyBorder="1" applyProtection="1">
      <protection locked="0"/>
    </xf>
    <xf numFmtId="0" fontId="14" fillId="0" borderId="0" xfId="0" applyFont="1" applyFill="1" applyBorder="1"/>
    <xf numFmtId="40" fontId="13" fillId="2" borderId="1" xfId="0" applyNumberFormat="1" applyFont="1" applyFill="1" applyBorder="1"/>
    <xf numFmtId="0" fontId="15" fillId="0" borderId="0" xfId="3"/>
    <xf numFmtId="0" fontId="3" fillId="0" borderId="4" xfId="0" applyFont="1" applyFill="1" applyBorder="1" applyAlignment="1">
      <alignment horizontal="center"/>
    </xf>
    <xf numFmtId="164" fontId="3" fillId="0" borderId="1" xfId="1" applyNumberFormat="1" applyFont="1" applyFill="1" applyBorder="1"/>
    <xf numFmtId="0" fontId="3" fillId="0" borderId="5" xfId="0" applyFont="1" applyFill="1" applyBorder="1" applyAlignment="1">
      <alignment horizontal="center"/>
    </xf>
    <xf numFmtId="164" fontId="3" fillId="0" borderId="2" xfId="1" applyNumberFormat="1" applyFont="1" applyFill="1" applyBorder="1"/>
    <xf numFmtId="0" fontId="16" fillId="0" borderId="0" xfId="0" applyFont="1"/>
    <xf numFmtId="0" fontId="18" fillId="5" borderId="18" xfId="4" applyFont="1" applyFill="1" applyBorder="1" applyAlignment="1" applyProtection="1">
      <alignment horizontal="center" vertical="center"/>
      <protection locked="0"/>
    </xf>
    <xf numFmtId="0" fontId="18" fillId="5" borderId="19" xfId="4" applyFont="1" applyFill="1" applyBorder="1" applyAlignment="1" applyProtection="1">
      <alignment horizontal="center" vertical="center"/>
      <protection locked="0"/>
    </xf>
    <xf numFmtId="165" fontId="18" fillId="5" borderId="19" xfId="4" applyNumberFormat="1" applyFont="1" applyFill="1" applyBorder="1" applyAlignment="1" applyProtection="1">
      <alignment horizontal="center" vertical="center"/>
      <protection locked="0"/>
    </xf>
    <xf numFmtId="0" fontId="18" fillId="5" borderId="20" xfId="4" applyFont="1" applyFill="1" applyBorder="1" applyAlignment="1" applyProtection="1">
      <alignment horizontal="center" vertical="center"/>
      <protection locked="0"/>
    </xf>
    <xf numFmtId="165" fontId="18" fillId="5" borderId="20" xfId="4" applyNumberFormat="1" applyFont="1" applyFill="1" applyBorder="1" applyAlignment="1" applyProtection="1">
      <alignment horizontal="center" vertical="center"/>
      <protection locked="0"/>
    </xf>
    <xf numFmtId="1" fontId="18" fillId="5" borderId="18" xfId="4" applyNumberFormat="1" applyFont="1" applyFill="1" applyBorder="1" applyAlignment="1" applyProtection="1">
      <alignment horizontal="center" vertical="center"/>
      <protection locked="0"/>
    </xf>
    <xf numFmtId="1" fontId="18" fillId="5" borderId="19" xfId="4" applyNumberFormat="1" applyFont="1" applyFill="1" applyBorder="1" applyAlignment="1" applyProtection="1">
      <alignment horizontal="center" vertical="center"/>
      <protection locked="0"/>
    </xf>
    <xf numFmtId="1" fontId="18" fillId="5" borderId="20" xfId="4" applyNumberFormat="1" applyFont="1" applyFill="1" applyBorder="1" applyAlignment="1" applyProtection="1">
      <alignment horizontal="center" vertical="center"/>
      <protection locked="0"/>
    </xf>
    <xf numFmtId="0" fontId="19" fillId="2" borderId="0" xfId="0" applyFont="1" applyFill="1"/>
    <xf numFmtId="0" fontId="19" fillId="2" borderId="0" xfId="0" applyFont="1" applyFill="1" applyBorder="1"/>
    <xf numFmtId="0" fontId="20" fillId="2" borderId="0" xfId="0" applyFont="1" applyFill="1" applyBorder="1"/>
    <xf numFmtId="40" fontId="20" fillId="2" borderId="1" xfId="0" applyNumberFormat="1" applyFont="1" applyFill="1" applyBorder="1"/>
    <xf numFmtId="40" fontId="20" fillId="2" borderId="21" xfId="0" applyNumberFormat="1" applyFont="1" applyFill="1" applyBorder="1"/>
    <xf numFmtId="44" fontId="0" fillId="0" borderId="0" xfId="1" applyFont="1"/>
    <xf numFmtId="0" fontId="8" fillId="0" borderId="0" xfId="0" applyFont="1"/>
    <xf numFmtId="0" fontId="0" fillId="6" borderId="23" xfId="0" applyFill="1" applyBorder="1" applyAlignment="1">
      <alignment horizontal="center"/>
    </xf>
    <xf numFmtId="0" fontId="3" fillId="0" borderId="0" xfId="0" applyFont="1" applyFill="1" applyBorder="1"/>
    <xf numFmtId="0" fontId="0" fillId="0" borderId="0" xfId="0" applyAlignment="1">
      <alignment horizontal="center"/>
    </xf>
    <xf numFmtId="0" fontId="0" fillId="3" borderId="23"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8" fontId="0" fillId="6" borderId="16" xfId="1" applyNumberFormat="1" applyFont="1" applyFill="1" applyBorder="1" applyAlignment="1" applyProtection="1">
      <alignment horizontal="right" vertical="center"/>
    </xf>
    <xf numFmtId="8" fontId="4" fillId="6" borderId="8" xfId="1" applyNumberFormat="1" applyFont="1" applyFill="1" applyBorder="1" applyAlignment="1" applyProtection="1">
      <alignment horizontal="right" vertical="center"/>
    </xf>
    <xf numFmtId="0" fontId="0" fillId="2" borderId="0" xfId="0" applyFill="1" applyBorder="1" applyProtection="1">
      <protection locked="0"/>
    </xf>
    <xf numFmtId="0" fontId="0" fillId="6" borderId="23" xfId="0" applyFill="1" applyBorder="1" applyAlignment="1">
      <alignment horizontal="center" vertical="center"/>
    </xf>
    <xf numFmtId="1" fontId="0" fillId="6" borderId="23" xfId="0" applyNumberFormat="1" applyFill="1" applyBorder="1" applyAlignment="1">
      <alignment horizontal="center" vertical="center"/>
    </xf>
    <xf numFmtId="1" fontId="0" fillId="3" borderId="14" xfId="0" applyNumberFormat="1" applyFill="1" applyBorder="1" applyAlignment="1" applyProtection="1">
      <alignment horizontal="center" vertical="center"/>
      <protection locked="0"/>
    </xf>
    <xf numFmtId="8" fontId="0" fillId="6" borderId="37" xfId="1" applyNumberFormat="1" applyFont="1" applyFill="1" applyBorder="1" applyAlignment="1" applyProtection="1">
      <alignment vertical="center"/>
    </xf>
    <xf numFmtId="44" fontId="0" fillId="3" borderId="16" xfId="0" applyNumberFormat="1" applyFill="1" applyBorder="1" applyAlignment="1" applyProtection="1">
      <alignment horizontal="center" vertical="center"/>
      <protection locked="0"/>
    </xf>
    <xf numFmtId="8" fontId="0" fillId="3" borderId="16" xfId="1" applyNumberFormat="1" applyFont="1" applyFill="1" applyBorder="1" applyAlignment="1" applyProtection="1">
      <alignment vertical="center"/>
      <protection locked="0"/>
    </xf>
    <xf numFmtId="0" fontId="0" fillId="3" borderId="16" xfId="0" applyFill="1" applyBorder="1" applyAlignment="1" applyProtection="1">
      <alignment horizontal="center" vertical="center"/>
      <protection locked="0"/>
    </xf>
    <xf numFmtId="8" fontId="0" fillId="6" borderId="16" xfId="1" applyNumberFormat="1" applyFont="1" applyFill="1" applyBorder="1" applyAlignment="1" applyProtection="1">
      <alignment vertical="center"/>
    </xf>
    <xf numFmtId="44" fontId="0" fillId="3" borderId="17" xfId="0" applyNumberFormat="1" applyFill="1" applyBorder="1" applyAlignment="1" applyProtection="1">
      <alignment horizontal="center" vertical="center"/>
      <protection locked="0"/>
    </xf>
    <xf numFmtId="0" fontId="3" fillId="2" borderId="0" xfId="0" applyFont="1" applyFill="1" applyBorder="1" applyAlignment="1" applyProtection="1">
      <alignment vertical="center"/>
    </xf>
    <xf numFmtId="44" fontId="0" fillId="6" borderId="8" xfId="1" applyFont="1" applyFill="1" applyBorder="1" applyAlignment="1" applyProtection="1">
      <alignment vertical="center"/>
    </xf>
    <xf numFmtId="8" fontId="4" fillId="6" borderId="17" xfId="1" applyNumberFormat="1" applyFont="1" applyFill="1" applyBorder="1" applyAlignment="1" applyProtection="1">
      <alignment vertical="center"/>
    </xf>
    <xf numFmtId="8" fontId="4" fillId="8" borderId="11" xfId="1" applyNumberFormat="1"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left" vertical="center"/>
      <protection locked="0"/>
    </xf>
    <xf numFmtId="8" fontId="3" fillId="6" borderId="14" xfId="1" applyNumberFormat="1" applyFont="1" applyFill="1" applyBorder="1" applyAlignment="1" applyProtection="1">
      <alignment vertical="center"/>
    </xf>
    <xf numFmtId="8" fontId="3" fillId="6" borderId="17" xfId="1" applyNumberFormat="1" applyFont="1" applyFill="1" applyBorder="1" applyAlignment="1" applyProtection="1">
      <alignment vertical="center"/>
    </xf>
    <xf numFmtId="8" fontId="4" fillId="8" borderId="2" xfId="1" applyNumberFormat="1" applyFont="1" applyFill="1" applyBorder="1" applyAlignment="1" applyProtection="1">
      <alignment vertical="center"/>
    </xf>
    <xf numFmtId="8" fontId="3" fillId="3" borderId="14" xfId="1" applyNumberFormat="1" applyFont="1" applyFill="1" applyBorder="1" applyAlignment="1" applyProtection="1">
      <alignment vertical="center"/>
      <protection locked="0"/>
    </xf>
    <xf numFmtId="8" fontId="3" fillId="3" borderId="16" xfId="1" applyNumberFormat="1" applyFont="1" applyFill="1" applyBorder="1" applyAlignment="1" applyProtection="1">
      <alignment vertical="center"/>
      <protection locked="0"/>
    </xf>
    <xf numFmtId="8" fontId="3" fillId="3" borderId="17" xfId="1" applyNumberFormat="1" applyFont="1" applyFill="1" applyBorder="1" applyAlignment="1" applyProtection="1">
      <alignment vertical="center"/>
      <protection locked="0"/>
    </xf>
    <xf numFmtId="14" fontId="3" fillId="3" borderId="8" xfId="0" applyNumberFormat="1"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center" vertical="center"/>
      <protection locked="0"/>
    </xf>
    <xf numFmtId="8" fontId="0" fillId="3" borderId="14" xfId="1" applyNumberFormat="1" applyFont="1" applyFill="1" applyBorder="1" applyAlignment="1" applyProtection="1">
      <alignment vertical="center"/>
      <protection locked="0"/>
    </xf>
    <xf numFmtId="8" fontId="4" fillId="6" borderId="40" xfId="1" applyNumberFormat="1" applyFont="1" applyFill="1" applyBorder="1" applyAlignment="1" applyProtection="1">
      <alignment vertical="center"/>
    </xf>
    <xf numFmtId="8" fontId="0" fillId="6" borderId="17" xfId="1" applyNumberFormat="1" applyFont="1" applyFill="1" applyBorder="1" applyAlignment="1" applyProtection="1">
      <alignment vertical="center"/>
    </xf>
    <xf numFmtId="8" fontId="4" fillId="8" borderId="10" xfId="1" applyNumberFormat="1" applyFont="1" applyFill="1" applyBorder="1" applyAlignment="1" applyProtection="1">
      <alignment horizontal="right" vertical="center"/>
    </xf>
    <xf numFmtId="0" fontId="0" fillId="2" borderId="32" xfId="0" applyFill="1" applyBorder="1" applyProtection="1">
      <protection locked="0"/>
    </xf>
    <xf numFmtId="0" fontId="3" fillId="2" borderId="32" xfId="0" applyFont="1" applyFill="1" applyBorder="1" applyProtection="1">
      <protection locked="0"/>
    </xf>
    <xf numFmtId="0" fontId="3" fillId="2" borderId="0" xfId="0" applyFont="1" applyFill="1" applyBorder="1" applyProtection="1">
      <protection locked="0"/>
    </xf>
    <xf numFmtId="0" fontId="0" fillId="0" borderId="0" xfId="0" applyBorder="1" applyProtection="1">
      <protection locked="0"/>
    </xf>
    <xf numFmtId="10" fontId="3" fillId="2" borderId="0" xfId="2" applyNumberFormat="1" applyFont="1" applyFill="1" applyBorder="1" applyProtection="1">
      <protection locked="0"/>
    </xf>
    <xf numFmtId="9" fontId="28" fillId="2" borderId="8"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2" borderId="0" xfId="0" applyFont="1" applyFill="1" applyBorder="1" applyAlignment="1" applyProtection="1">
      <alignment vertical="center"/>
      <protection locked="0"/>
    </xf>
    <xf numFmtId="10" fontId="3" fillId="2" borderId="0" xfId="2"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3" fillId="2" borderId="7" xfId="0" applyFont="1" applyFill="1" applyBorder="1" applyAlignment="1" applyProtection="1">
      <alignment horizontal="right" vertical="center"/>
      <protection locked="0"/>
    </xf>
    <xf numFmtId="44" fontId="0" fillId="2" borderId="0" xfId="0" applyNumberFormat="1" applyFill="1" applyBorder="1" applyAlignment="1" applyProtection="1">
      <alignment vertical="center"/>
      <protection locked="0"/>
    </xf>
    <xf numFmtId="40" fontId="4" fillId="2" borderId="1" xfId="0" applyNumberFormat="1" applyFont="1" applyFill="1" applyBorder="1" applyAlignment="1" applyProtection="1">
      <alignment vertical="center"/>
      <protection locked="0"/>
    </xf>
    <xf numFmtId="44" fontId="4" fillId="2" borderId="0" xfId="0" applyNumberFormat="1" applyFont="1" applyFill="1" applyBorder="1" applyAlignment="1" applyProtection="1">
      <alignment vertical="center"/>
      <protection locked="0"/>
    </xf>
    <xf numFmtId="8" fontId="3" fillId="6" borderId="14" xfId="1" applyNumberFormat="1" applyFont="1" applyFill="1" applyBorder="1" applyAlignment="1" applyProtection="1">
      <alignment vertical="center"/>
      <protection locked="0"/>
    </xf>
    <xf numFmtId="166" fontId="0" fillId="2" borderId="0" xfId="0" applyNumberFormat="1" applyFill="1" applyBorder="1" applyAlignment="1" applyProtection="1">
      <alignment vertical="center"/>
      <protection locked="0"/>
    </xf>
    <xf numFmtId="0" fontId="11" fillId="2" borderId="0" xfId="0" applyFont="1" applyFill="1" applyBorder="1" applyAlignment="1" applyProtection="1">
      <alignment vertical="center"/>
      <protection locked="0"/>
    </xf>
    <xf numFmtId="8" fontId="0" fillId="2" borderId="0" xfId="0" applyNumberFormat="1" applyFill="1" applyBorder="1" applyAlignment="1" applyProtection="1">
      <alignment vertical="center"/>
      <protection locked="0"/>
    </xf>
    <xf numFmtId="2"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2" fontId="0" fillId="2" borderId="0" xfId="0" applyNumberFormat="1" applyFill="1" applyBorder="1" applyAlignment="1" applyProtection="1">
      <alignment vertical="center"/>
      <protection locked="0"/>
    </xf>
    <xf numFmtId="0" fontId="0" fillId="2" borderId="33" xfId="0" applyFill="1" applyBorder="1" applyProtection="1">
      <protection locked="0"/>
    </xf>
    <xf numFmtId="40" fontId="0" fillId="2" borderId="0" xfId="0" applyNumberFormat="1" applyFill="1" applyBorder="1" applyProtection="1">
      <protection locked="0"/>
    </xf>
    <xf numFmtId="0" fontId="10" fillId="2" borderId="0" xfId="0" applyFont="1" applyFill="1" applyBorder="1" applyProtection="1">
      <protection locked="0"/>
    </xf>
    <xf numFmtId="0" fontId="19" fillId="2" borderId="0" xfId="0" applyFont="1" applyFill="1" applyBorder="1" applyProtection="1"/>
    <xf numFmtId="40" fontId="0" fillId="2" borderId="1" xfId="0" applyNumberFormat="1" applyFill="1" applyBorder="1" applyProtection="1"/>
    <xf numFmtId="40" fontId="14" fillId="2" borderId="0" xfId="0" applyNumberFormat="1" applyFont="1" applyFill="1" applyBorder="1" applyProtection="1"/>
    <xf numFmtId="0" fontId="14" fillId="2" borderId="0" xfId="0" applyFont="1" applyFill="1" applyBorder="1" applyProtection="1"/>
    <xf numFmtId="40" fontId="14" fillId="2" borderId="1" xfId="0" applyNumberFormat="1" applyFont="1" applyFill="1" applyBorder="1" applyProtection="1"/>
    <xf numFmtId="0" fontId="0" fillId="2" borderId="0" xfId="0" applyFill="1" applyBorder="1" applyAlignment="1" applyProtection="1">
      <alignment vertical="center"/>
    </xf>
    <xf numFmtId="0" fontId="4" fillId="2" borderId="0"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6" xfId="0" applyFont="1" applyFill="1" applyBorder="1" applyAlignment="1" applyProtection="1">
      <alignment vertical="center"/>
    </xf>
    <xf numFmtId="40" fontId="3" fillId="2" borderId="1" xfId="0" applyNumberFormat="1" applyFont="1" applyFill="1" applyBorder="1" applyAlignment="1" applyProtection="1">
      <alignment vertical="center"/>
    </xf>
    <xf numFmtId="0" fontId="14" fillId="0" borderId="0" xfId="0" applyFont="1" applyFill="1" applyBorder="1" applyAlignment="1" applyProtection="1">
      <alignment vertical="center"/>
    </xf>
    <xf numFmtId="40" fontId="13" fillId="2" borderId="1"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7" fillId="2" borderId="0" xfId="0" applyFont="1" applyFill="1" applyBorder="1" applyAlignment="1" applyProtection="1">
      <alignment vertical="center"/>
    </xf>
    <xf numFmtId="40" fontId="4" fillId="2" borderId="1" xfId="0" applyNumberFormat="1" applyFont="1" applyFill="1" applyBorder="1" applyAlignment="1" applyProtection="1">
      <alignment vertical="center"/>
    </xf>
    <xf numFmtId="40" fontId="3" fillId="2" borderId="2" xfId="0" applyNumberFormat="1" applyFont="1" applyFill="1" applyBorder="1" applyAlignment="1" applyProtection="1">
      <alignment vertical="center"/>
    </xf>
    <xf numFmtId="0" fontId="3" fillId="2" borderId="4" xfId="0" applyFont="1" applyFill="1" applyBorder="1" applyAlignment="1" applyProtection="1">
      <alignment vertical="center"/>
    </xf>
    <xf numFmtId="0" fontId="27" fillId="2" borderId="0" xfId="0" applyFont="1" applyFill="1" applyBorder="1" applyAlignment="1" applyProtection="1">
      <alignment horizontal="left" vertical="center"/>
    </xf>
    <xf numFmtId="0" fontId="27" fillId="2" borderId="1" xfId="0" applyFont="1" applyFill="1" applyBorder="1" applyAlignment="1" applyProtection="1">
      <alignment horizontal="left" vertical="center"/>
    </xf>
    <xf numFmtId="2" fontId="14" fillId="0" borderId="1" xfId="1" applyNumberFormat="1" applyFont="1" applyFill="1" applyBorder="1" applyAlignment="1" applyProtection="1">
      <alignment horizontal="center" vertical="center" wrapText="1"/>
    </xf>
    <xf numFmtId="44" fontId="0" fillId="3" borderId="23" xfId="1" applyFont="1" applyFill="1" applyBorder="1" applyProtection="1">
      <protection locked="0"/>
    </xf>
    <xf numFmtId="10" fontId="0" fillId="0" borderId="0" xfId="2" applyNumberFormat="1" applyFont="1"/>
    <xf numFmtId="0" fontId="35" fillId="2" borderId="0" xfId="0" applyFont="1" applyFill="1" applyBorder="1" applyProtection="1"/>
    <xf numFmtId="0" fontId="0" fillId="2" borderId="35" xfId="0" applyFill="1" applyBorder="1" applyAlignment="1" applyProtection="1">
      <alignment vertical="center"/>
    </xf>
    <xf numFmtId="44" fontId="25" fillId="2" borderId="0" xfId="1" applyFont="1" applyFill="1" applyBorder="1" applyAlignment="1" applyProtection="1">
      <alignment vertical="center"/>
      <protection locked="0"/>
    </xf>
    <xf numFmtId="44" fontId="39" fillId="2" borderId="0" xfId="1" applyFont="1" applyFill="1" applyBorder="1" applyAlignment="1" applyProtection="1">
      <alignment horizontal="right" vertical="center"/>
    </xf>
    <xf numFmtId="0" fontId="39" fillId="2" borderId="0" xfId="0" applyFont="1" applyFill="1" applyBorder="1" applyAlignment="1" applyProtection="1">
      <alignment vertical="center"/>
    </xf>
    <xf numFmtId="0" fontId="39" fillId="2" borderId="0" xfId="0" applyFont="1" applyFill="1" applyBorder="1" applyAlignment="1" applyProtection="1">
      <alignment horizontal="right" vertical="center"/>
    </xf>
    <xf numFmtId="0" fontId="39" fillId="2" borderId="35" xfId="0" applyFont="1" applyFill="1" applyBorder="1" applyAlignment="1" applyProtection="1">
      <alignment vertical="center"/>
    </xf>
    <xf numFmtId="167" fontId="4" fillId="8" borderId="11" xfId="1" applyNumberFormat="1" applyFont="1" applyFill="1" applyBorder="1" applyAlignment="1" applyProtection="1">
      <alignment horizontal="right" vertical="center"/>
    </xf>
    <xf numFmtId="167" fontId="0" fillId="3" borderId="14" xfId="0" applyNumberFormat="1" applyFill="1" applyBorder="1" applyAlignment="1" applyProtection="1">
      <alignment horizontal="right" vertical="center"/>
      <protection locked="0"/>
    </xf>
    <xf numFmtId="167" fontId="3" fillId="3" borderId="17" xfId="1" applyNumberFormat="1" applyFont="1" applyFill="1" applyBorder="1" applyAlignment="1" applyProtection="1">
      <alignment horizontal="right" vertical="center"/>
      <protection locked="0"/>
    </xf>
    <xf numFmtId="8" fontId="3" fillId="6" borderId="14" xfId="1" applyNumberFormat="1" applyFont="1" applyFill="1" applyBorder="1" applyAlignment="1" applyProtection="1">
      <alignment horizontal="right" vertical="center"/>
    </xf>
    <xf numFmtId="0" fontId="30" fillId="2" borderId="7" xfId="0" applyFont="1" applyFill="1" applyBorder="1" applyAlignment="1" applyProtection="1">
      <alignment vertical="center"/>
    </xf>
    <xf numFmtId="0" fontId="3" fillId="0" borderId="0" xfId="0" applyFont="1" applyFill="1" applyBorder="1" applyAlignment="1" applyProtection="1">
      <alignment vertical="center" wrapText="1"/>
    </xf>
    <xf numFmtId="0" fontId="0" fillId="0" borderId="44" xfId="0" applyBorder="1"/>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left" vertical="center"/>
    </xf>
    <xf numFmtId="0" fontId="3" fillId="0" borderId="0" xfId="0" applyFont="1"/>
    <xf numFmtId="0" fontId="3" fillId="0" borderId="0" xfId="0" applyFont="1"/>
    <xf numFmtId="0" fontId="3" fillId="0" borderId="0" xfId="0" applyFont="1" applyAlignment="1">
      <alignment horizontal="right"/>
    </xf>
    <xf numFmtId="0" fontId="3" fillId="0" borderId="0" xfId="0" applyFont="1" applyFill="1" applyBorder="1" applyAlignment="1">
      <alignment horizontal="right" wrapText="1"/>
    </xf>
    <xf numFmtId="0" fontId="8" fillId="0" borderId="42" xfId="0" applyFont="1" applyBorder="1" applyAlignment="1">
      <alignment horizontal="left" vertical="center"/>
    </xf>
    <xf numFmtId="0" fontId="3" fillId="0" borderId="42" xfId="0" applyFont="1" applyBorder="1" applyAlignment="1">
      <alignment horizontal="right" vertical="center"/>
    </xf>
    <xf numFmtId="0" fontId="3" fillId="0" borderId="42" xfId="0" applyFont="1" applyBorder="1" applyAlignment="1">
      <alignment horizontal="right" vertical="center" wrapText="1"/>
    </xf>
    <xf numFmtId="0" fontId="3" fillId="0" borderId="48" xfId="0" applyFont="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49" xfId="0" applyBorder="1" applyAlignment="1">
      <alignment horizontal="left" vertical="center"/>
    </xf>
    <xf numFmtId="0" fontId="3" fillId="0" borderId="50" xfId="0" applyFont="1" applyBorder="1" applyAlignment="1">
      <alignment horizontal="left" vertical="center"/>
    </xf>
    <xf numFmtId="167" fontId="3" fillId="0" borderId="54" xfId="0" applyNumberFormat="1" applyFont="1" applyBorder="1" applyAlignment="1">
      <alignment horizontal="left" vertical="center" wrapText="1"/>
    </xf>
    <xf numFmtId="167" fontId="3" fillId="0" borderId="54" xfId="0" applyNumberFormat="1" applyFont="1" applyBorder="1" applyAlignment="1">
      <alignment horizontal="left" vertical="top" wrapText="1"/>
    </xf>
    <xf numFmtId="167" fontId="0" fillId="0" borderId="55" xfId="0" applyNumberFormat="1" applyBorder="1" applyAlignment="1">
      <alignment horizontal="left" vertical="center"/>
    </xf>
    <xf numFmtId="0" fontId="3" fillId="0" borderId="53" xfId="0" applyFont="1" applyBorder="1" applyAlignment="1">
      <alignment horizontal="left" vertical="center" wrapText="1"/>
    </xf>
    <xf numFmtId="0" fontId="0" fillId="0" borderId="23" xfId="0" applyBorder="1" applyAlignment="1">
      <alignment horizontal="center" vertical="center"/>
    </xf>
    <xf numFmtId="0" fontId="0" fillId="0" borderId="47" xfId="0" applyBorder="1" applyAlignment="1">
      <alignment horizontal="center" vertical="center"/>
    </xf>
    <xf numFmtId="1" fontId="3" fillId="0" borderId="23" xfId="0" applyNumberFormat="1" applyFont="1" applyBorder="1" applyAlignment="1">
      <alignment horizontal="center" vertical="center"/>
    </xf>
    <xf numFmtId="1" fontId="0" fillId="0" borderId="23" xfId="0" applyNumberFormat="1" applyBorder="1" applyAlignment="1">
      <alignment horizontal="center" vertical="center"/>
    </xf>
    <xf numFmtId="1" fontId="0" fillId="0" borderId="47" xfId="0" applyNumberForma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wrapText="1"/>
    </xf>
    <xf numFmtId="167" fontId="3" fillId="0" borderId="23" xfId="0" applyNumberFormat="1" applyFont="1" applyBorder="1" applyAlignment="1">
      <alignment horizontal="center" vertical="center"/>
    </xf>
    <xf numFmtId="167" fontId="0" fillId="0" borderId="23" xfId="0" applyNumberFormat="1" applyBorder="1" applyAlignment="1">
      <alignment horizontal="center" vertical="center"/>
    </xf>
    <xf numFmtId="167" fontId="3" fillId="0" borderId="51" xfId="0" applyNumberFormat="1" applyFont="1" applyBorder="1" applyAlignment="1">
      <alignment horizontal="center" vertical="center"/>
    </xf>
    <xf numFmtId="167" fontId="0" fillId="0" borderId="51" xfId="0" applyNumberFormat="1" applyBorder="1" applyAlignment="1">
      <alignment horizontal="center" vertical="center"/>
    </xf>
    <xf numFmtId="0" fontId="0" fillId="0" borderId="52" xfId="0" applyBorder="1" applyAlignment="1">
      <alignment horizontal="center" vertical="center"/>
    </xf>
    <xf numFmtId="0" fontId="3" fillId="0" borderId="0" xfId="0" applyFont="1" applyBorder="1" applyAlignment="1"/>
    <xf numFmtId="0" fontId="3" fillId="0" borderId="0" xfId="0" applyFont="1" applyAlignment="1">
      <alignment vertical="center"/>
    </xf>
    <xf numFmtId="0" fontId="3" fillId="6" borderId="50" xfId="0" applyFont="1" applyFill="1" applyBorder="1" applyAlignment="1">
      <alignment horizontal="left" vertical="center" wrapText="1"/>
    </xf>
    <xf numFmtId="167" fontId="3" fillId="12" borderId="51" xfId="0" applyNumberFormat="1" applyFont="1" applyFill="1" applyBorder="1" applyAlignment="1">
      <alignment horizontal="left" vertical="center"/>
    </xf>
    <xf numFmtId="167" fontId="3" fillId="6" borderId="51" xfId="0" applyNumberFormat="1" applyFont="1" applyFill="1" applyBorder="1" applyAlignment="1">
      <alignment horizontal="right" vertical="center" wrapText="1"/>
    </xf>
    <xf numFmtId="0" fontId="3" fillId="0" borderId="0" xfId="0" applyFont="1" applyBorder="1" applyAlignment="1">
      <alignment vertical="center"/>
    </xf>
    <xf numFmtId="0" fontId="0" fillId="0" borderId="35" xfId="0" applyBorder="1"/>
    <xf numFmtId="167" fontId="1" fillId="11" borderId="23" xfId="11" applyNumberFormat="1" applyBorder="1" applyAlignment="1">
      <alignment horizontal="center" wrapText="1"/>
    </xf>
    <xf numFmtId="0" fontId="3" fillId="0" borderId="25" xfId="0" applyFont="1" applyBorder="1" applyAlignment="1">
      <alignment horizontal="left" wrapText="1"/>
    </xf>
    <xf numFmtId="0" fontId="3" fillId="0" borderId="24" xfId="0" applyFont="1" applyBorder="1" applyAlignment="1">
      <alignment horizontal="left" wrapText="1"/>
    </xf>
    <xf numFmtId="0" fontId="3" fillId="0" borderId="26" xfId="0" applyFont="1" applyBorder="1" applyAlignment="1">
      <alignment horizontal="left" wrapText="1"/>
    </xf>
    <xf numFmtId="0" fontId="3" fillId="0" borderId="57" xfId="0" applyFont="1" applyBorder="1" applyAlignment="1">
      <alignment wrapText="1"/>
    </xf>
    <xf numFmtId="0" fontId="3" fillId="0" borderId="32" xfId="0" applyFont="1" applyBorder="1" applyAlignment="1"/>
    <xf numFmtId="0" fontId="3" fillId="0" borderId="58" xfId="0" applyFont="1" applyBorder="1" applyAlignment="1"/>
    <xf numFmtId="0" fontId="3" fillId="0" borderId="38" xfId="0" applyFont="1" applyBorder="1"/>
    <xf numFmtId="0" fontId="1" fillId="11" borderId="23" xfId="11" applyBorder="1" applyAlignment="1">
      <alignment horizontal="center" wrapText="1"/>
    </xf>
    <xf numFmtId="8" fontId="3" fillId="0" borderId="0" xfId="0" applyNumberFormat="1" applyFont="1" applyFill="1" applyBorder="1" applyAlignment="1">
      <alignment horizontal="center"/>
    </xf>
    <xf numFmtId="44" fontId="3" fillId="0" borderId="39" xfId="0" applyNumberFormat="1" applyFont="1" applyFill="1" applyBorder="1" applyAlignment="1">
      <alignment horizontal="center"/>
    </xf>
    <xf numFmtId="0" fontId="0" fillId="3" borderId="23" xfId="0"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protection locked="0"/>
    </xf>
    <xf numFmtId="0" fontId="30" fillId="2" borderId="7" xfId="0" applyFont="1" applyFill="1" applyBorder="1" applyAlignment="1" applyProtection="1"/>
    <xf numFmtId="0" fontId="43" fillId="2" borderId="7" xfId="0" applyFont="1" applyFill="1" applyBorder="1" applyAlignment="1" applyProtection="1"/>
    <xf numFmtId="0" fontId="3" fillId="6" borderId="23" xfId="0" applyFont="1" applyFill="1" applyBorder="1"/>
    <xf numFmtId="44" fontId="0" fillId="6" borderId="23" xfId="1" applyFont="1" applyFill="1" applyBorder="1"/>
    <xf numFmtId="44" fontId="0" fillId="6" borderId="23" xfId="1" applyFont="1" applyFill="1" applyBorder="1" applyProtection="1"/>
    <xf numFmtId="0" fontId="0" fillId="0" borderId="25" xfId="0" applyBorder="1"/>
    <xf numFmtId="0" fontId="3" fillId="2" borderId="23" xfId="0" applyFont="1" applyFill="1" applyBorder="1"/>
    <xf numFmtId="44" fontId="0" fillId="2" borderId="23" xfId="1" applyFont="1" applyFill="1" applyBorder="1"/>
    <xf numFmtId="0" fontId="4" fillId="2" borderId="0" xfId="0" applyFont="1" applyFill="1" applyBorder="1" applyAlignment="1">
      <alignment horizontal="center" vertical="center"/>
    </xf>
    <xf numFmtId="0" fontId="4" fillId="2" borderId="0" xfId="0" applyFont="1" applyFill="1" applyBorder="1" applyAlignment="1">
      <alignment horizontal="center"/>
    </xf>
    <xf numFmtId="44" fontId="0" fillId="2" borderId="0" xfId="1" applyFont="1" applyFill="1" applyBorder="1"/>
    <xf numFmtId="44" fontId="0" fillId="6" borderId="0" xfId="1" applyFont="1" applyFill="1" applyBorder="1"/>
    <xf numFmtId="0" fontId="4" fillId="14" borderId="29" xfId="0" applyFont="1" applyFill="1" applyBorder="1" applyAlignment="1">
      <alignment horizontal="center" vertical="center"/>
    </xf>
    <xf numFmtId="0" fontId="4" fillId="14" borderId="30" xfId="0" applyFont="1" applyFill="1" applyBorder="1" applyAlignment="1">
      <alignment horizontal="center" vertical="center"/>
    </xf>
    <xf numFmtId="0" fontId="4" fillId="14" borderId="31" xfId="0" applyFont="1" applyFill="1" applyBorder="1" applyAlignment="1">
      <alignment horizontal="center" vertical="center"/>
    </xf>
    <xf numFmtId="167" fontId="3" fillId="6" borderId="16" xfId="1" applyNumberFormat="1" applyFont="1" applyFill="1" applyBorder="1" applyAlignment="1" applyProtection="1">
      <alignment horizontal="right" vertical="center"/>
    </xf>
    <xf numFmtId="0" fontId="3" fillId="2" borderId="33" xfId="0" applyFont="1" applyFill="1" applyBorder="1" applyAlignment="1" applyProtection="1">
      <alignment horizontal="right"/>
    </xf>
    <xf numFmtId="7" fontId="0" fillId="3" borderId="16" xfId="1" applyNumberFormat="1" applyFont="1" applyFill="1" applyBorder="1" applyAlignment="1" applyProtection="1">
      <alignment horizontal="right" vertical="center"/>
      <protection locked="0"/>
    </xf>
    <xf numFmtId="7" fontId="0" fillId="3" borderId="22" xfId="1" applyNumberFormat="1" applyFont="1" applyFill="1" applyBorder="1" applyAlignment="1" applyProtection="1">
      <alignment horizontal="right" vertical="center"/>
      <protection locked="0"/>
    </xf>
    <xf numFmtId="7" fontId="0" fillId="3" borderId="17" xfId="1"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protection locked="0"/>
    </xf>
    <xf numFmtId="0" fontId="0" fillId="0" borderId="0" xfId="0" applyAlignment="1">
      <alignment horizontal="center"/>
    </xf>
    <xf numFmtId="0" fontId="3" fillId="3" borderId="23" xfId="0" applyFont="1" applyFill="1" applyBorder="1" applyAlignment="1" applyProtection="1">
      <alignment horizontal="center" vertical="center"/>
      <protection locked="0"/>
    </xf>
    <xf numFmtId="0" fontId="2" fillId="0" borderId="0" xfId="4"/>
    <xf numFmtId="6" fontId="2" fillId="0" borderId="0" xfId="4" applyNumberFormat="1" applyFill="1" applyBorder="1"/>
    <xf numFmtId="0" fontId="2" fillId="15" borderId="0" xfId="4" applyFill="1"/>
    <xf numFmtId="6" fontId="2" fillId="15" borderId="0" xfId="4" applyNumberFormat="1" applyFill="1" applyBorder="1"/>
    <xf numFmtId="0" fontId="4" fillId="2" borderId="41" xfId="0" applyFont="1" applyFill="1" applyBorder="1" applyAlignment="1" applyProtection="1">
      <alignment horizontal="center"/>
    </xf>
    <xf numFmtId="0" fontId="3" fillId="2" borderId="0" xfId="0" applyFont="1" applyFill="1" applyBorder="1" applyProtection="1"/>
    <xf numFmtId="0" fontId="0" fillId="2" borderId="0" xfId="0" applyFill="1" applyBorder="1" applyProtection="1"/>
    <xf numFmtId="0" fontId="24"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44" fontId="22" fillId="6" borderId="23" xfId="1" applyFont="1" applyFill="1" applyBorder="1"/>
    <xf numFmtId="0" fontId="3" fillId="3" borderId="0"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3" fillId="2" borderId="0" xfId="0" applyFont="1" applyFill="1" applyBorder="1" applyAlignment="1" applyProtection="1">
      <alignment horizontal="right" vertical="center" wrapText="1"/>
      <protection locked="0"/>
    </xf>
    <xf numFmtId="0" fontId="3" fillId="0" borderId="0" xfId="0" applyFont="1" applyAlignment="1">
      <alignment wrapText="1"/>
    </xf>
    <xf numFmtId="44" fontId="5" fillId="6" borderId="17" xfId="1" applyNumberFormat="1" applyFont="1" applyFill="1" applyBorder="1" applyAlignment="1" applyProtection="1">
      <alignment horizontal="right" vertical="center"/>
    </xf>
    <xf numFmtId="0" fontId="39" fillId="2" borderId="0" xfId="0" applyFont="1" applyFill="1" applyBorder="1" applyAlignment="1" applyProtection="1">
      <alignment horizontal="left" vertical="center"/>
    </xf>
    <xf numFmtId="0" fontId="0" fillId="2" borderId="33" xfId="0" applyFill="1" applyBorder="1" applyProtection="1"/>
    <xf numFmtId="40" fontId="0" fillId="2" borderId="0" xfId="0" applyNumberFormat="1" applyFill="1" applyBorder="1" applyProtection="1"/>
    <xf numFmtId="0" fontId="11" fillId="2" borderId="33" xfId="0" applyFont="1" applyFill="1" applyBorder="1" applyProtection="1"/>
    <xf numFmtId="0" fontId="11" fillId="2" borderId="0" xfId="0" applyFont="1" applyFill="1" applyBorder="1" applyProtection="1"/>
    <xf numFmtId="0" fontId="3" fillId="2" borderId="33" xfId="0" applyFont="1" applyFill="1" applyBorder="1" applyProtection="1"/>
    <xf numFmtId="0" fontId="9" fillId="2" borderId="0" xfId="0" applyFont="1" applyFill="1" applyBorder="1" applyProtection="1"/>
    <xf numFmtId="0" fontId="10" fillId="2" borderId="0" xfId="0" applyFont="1" applyFill="1" applyBorder="1" applyProtection="1"/>
    <xf numFmtId="0" fontId="0" fillId="2" borderId="4" xfId="0" applyFill="1" applyBorder="1" applyProtection="1"/>
    <xf numFmtId="0" fontId="0" fillId="2" borderId="4" xfId="0" applyFill="1" applyBorder="1" applyAlignment="1" applyProtection="1">
      <alignment vertical="center"/>
    </xf>
    <xf numFmtId="0" fontId="4" fillId="2" borderId="4" xfId="0" applyFont="1" applyFill="1" applyBorder="1" applyAlignment="1" applyProtection="1">
      <alignment vertical="center"/>
    </xf>
    <xf numFmtId="0" fontId="25" fillId="2" borderId="0" xfId="0" applyFont="1" applyFill="1" applyBorder="1" applyAlignment="1" applyProtection="1">
      <alignment vertical="center"/>
    </xf>
    <xf numFmtId="44" fontId="3" fillId="2" borderId="0" xfId="0" applyNumberFormat="1" applyFont="1" applyFill="1" applyBorder="1" applyAlignment="1" applyProtection="1">
      <alignment vertical="center"/>
    </xf>
    <xf numFmtId="0" fontId="3" fillId="2" borderId="4" xfId="0" applyFont="1" applyFill="1" applyBorder="1" applyProtection="1"/>
    <xf numFmtId="0" fontId="30" fillId="2" borderId="5" xfId="0" applyFont="1" applyFill="1" applyBorder="1" applyAlignment="1" applyProtection="1"/>
    <xf numFmtId="0" fontId="41" fillId="2" borderId="4" xfId="0" applyFont="1" applyFill="1" applyBorder="1" applyAlignment="1" applyProtection="1">
      <alignment horizontal="left" vertical="center"/>
      <protection locked="0"/>
    </xf>
    <xf numFmtId="0" fontId="4" fillId="2" borderId="3" xfId="0" applyFont="1" applyFill="1" applyBorder="1" applyAlignment="1" applyProtection="1">
      <alignment vertical="center"/>
    </xf>
    <xf numFmtId="0" fontId="32" fillId="2" borderId="4" xfId="0" applyFont="1" applyFill="1" applyBorder="1" applyAlignment="1" applyProtection="1">
      <alignment horizontal="left" vertical="center"/>
    </xf>
    <xf numFmtId="0" fontId="25" fillId="2" borderId="4" xfId="0" applyFont="1" applyFill="1" applyBorder="1" applyAlignment="1" applyProtection="1">
      <alignment vertical="center"/>
    </xf>
    <xf numFmtId="0" fontId="25" fillId="2" borderId="1" xfId="0" applyFont="1" applyFill="1" applyBorder="1" applyAlignment="1" applyProtection="1">
      <alignment vertical="center"/>
    </xf>
    <xf numFmtId="0" fontId="4" fillId="7" borderId="62" xfId="0" applyFont="1" applyFill="1" applyBorder="1" applyAlignment="1" applyProtection="1">
      <alignment horizontal="right" vertical="center" wrapText="1"/>
    </xf>
    <xf numFmtId="0" fontId="3" fillId="2" borderId="62" xfId="0" applyFont="1" applyFill="1" applyBorder="1" applyProtection="1"/>
    <xf numFmtId="44" fontId="3" fillId="0" borderId="1" xfId="1" applyFont="1" applyFill="1" applyBorder="1" applyProtection="1">
      <protection locked="0"/>
    </xf>
    <xf numFmtId="0" fontId="3" fillId="2" borderId="64" xfId="0" applyFont="1" applyFill="1" applyBorder="1" applyProtection="1">
      <protection locked="0"/>
    </xf>
    <xf numFmtId="0" fontId="3" fillId="2" borderId="67" xfId="0" applyFont="1" applyFill="1" applyBorder="1" applyAlignment="1" applyProtection="1">
      <alignment horizontal="right"/>
      <protection locked="0"/>
    </xf>
    <xf numFmtId="14" fontId="0" fillId="3" borderId="70" xfId="0" applyNumberFormat="1" applyFill="1" applyBorder="1" applyProtection="1">
      <protection locked="0"/>
    </xf>
    <xf numFmtId="0" fontId="3" fillId="2" borderId="0" xfId="0" applyFont="1" applyFill="1" applyBorder="1" applyAlignment="1" applyProtection="1">
      <alignment horizontal="right"/>
    </xf>
    <xf numFmtId="0" fontId="0" fillId="0" borderId="0" xfId="0" applyAlignment="1">
      <alignment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xf>
    <xf numFmtId="0" fontId="49" fillId="0" borderId="0" xfId="0" applyFont="1" applyAlignment="1">
      <alignment horizontal="left" vertical="center"/>
    </xf>
    <xf numFmtId="0" fontId="47" fillId="0" borderId="0" xfId="0" applyFont="1" applyAlignment="1">
      <alignment horizontal="left" vertical="center" wrapText="1"/>
    </xf>
    <xf numFmtId="0" fontId="48" fillId="0" borderId="0" xfId="0" applyFont="1" applyAlignment="1">
      <alignment horizontal="left" vertical="center"/>
    </xf>
    <xf numFmtId="0" fontId="4" fillId="2" borderId="59" xfId="0" applyFont="1" applyFill="1" applyBorder="1" applyAlignment="1" applyProtection="1">
      <alignment horizontal="right"/>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9" xfId="0" applyFont="1"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right"/>
    </xf>
    <xf numFmtId="0" fontId="0" fillId="2" borderId="0" xfId="0" applyFill="1" applyBorder="1" applyAlignment="1">
      <alignment horizontal="right"/>
    </xf>
    <xf numFmtId="0" fontId="0" fillId="2" borderId="1" xfId="0" applyFill="1" applyBorder="1" applyAlignment="1">
      <alignment horizontal="right"/>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7" borderId="9" xfId="0" applyFont="1" applyFill="1" applyBorder="1" applyAlignment="1" applyProtection="1">
      <alignment horizontal="center" vertical="center"/>
    </xf>
    <xf numFmtId="0" fontId="4" fillId="7" borderId="10" xfId="0" applyFont="1" applyFill="1" applyBorder="1" applyAlignment="1" applyProtection="1">
      <alignment horizontal="center" vertical="center"/>
    </xf>
    <xf numFmtId="0" fontId="4" fillId="7" borderId="11" xfId="0" applyFont="1" applyFill="1" applyBorder="1" applyAlignment="1" applyProtection="1">
      <alignment horizontal="center" vertical="center"/>
    </xf>
    <xf numFmtId="0" fontId="4" fillId="8" borderId="9" xfId="0" applyFont="1" applyFill="1" applyBorder="1" applyAlignment="1" applyProtection="1">
      <alignment horizontal="left" vertical="center"/>
    </xf>
    <xf numFmtId="0" fontId="4" fillId="8" borderId="10" xfId="0" applyFont="1" applyFill="1" applyBorder="1" applyAlignment="1" applyProtection="1">
      <alignment horizontal="left" vertical="center"/>
    </xf>
    <xf numFmtId="0" fontId="42" fillId="2" borderId="0"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3" fillId="0" borderId="7" xfId="0" applyFont="1" applyFill="1" applyBorder="1" applyAlignment="1" applyProtection="1">
      <alignment horizontal="left" vertical="center" wrapText="1"/>
    </xf>
    <xf numFmtId="0" fontId="4" fillId="2" borderId="41" xfId="0" applyFont="1" applyFill="1" applyBorder="1" applyAlignment="1" applyProtection="1">
      <alignment horizontal="center"/>
    </xf>
    <xf numFmtId="0" fontId="3" fillId="3" borderId="25"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4" fillId="2" borderId="7" xfId="0" applyFont="1" applyFill="1" applyBorder="1" applyAlignment="1" applyProtection="1">
      <alignment horizontal="right" vertical="center"/>
    </xf>
    <xf numFmtId="0" fontId="4" fillId="2" borderId="2"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1" xfId="0" applyFont="1" applyFill="1" applyBorder="1" applyAlignment="1" applyProtection="1">
      <alignment horizontal="right" vertical="center"/>
    </xf>
    <xf numFmtId="0" fontId="25" fillId="2" borderId="7" xfId="0" applyFont="1" applyFill="1" applyBorder="1" applyAlignment="1" applyProtection="1">
      <alignment horizontal="left" vertical="center"/>
      <protection locked="0"/>
    </xf>
    <xf numFmtId="0" fontId="25" fillId="2" borderId="2" xfId="0" applyFont="1" applyFill="1" applyBorder="1" applyAlignment="1" applyProtection="1">
      <alignment horizontal="left" vertical="center"/>
      <protection locked="0"/>
    </xf>
    <xf numFmtId="0" fontId="4" fillId="7" borderId="4"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3" fillId="2" borderId="4" xfId="0" applyFont="1" applyFill="1" applyBorder="1" applyAlignment="1" applyProtection="1">
      <alignment horizontal="right" vertical="center"/>
    </xf>
    <xf numFmtId="0" fontId="32" fillId="2" borderId="4"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25" fillId="2" borderId="4" xfId="0" applyFont="1" applyFill="1" applyBorder="1" applyAlignment="1" applyProtection="1">
      <alignment horizontal="right" vertical="center"/>
    </xf>
    <xf numFmtId="0" fontId="25" fillId="2" borderId="0" xfId="0" applyFont="1" applyFill="1" applyBorder="1" applyAlignment="1" applyProtection="1">
      <alignment horizontal="right" vertical="center"/>
    </xf>
    <xf numFmtId="0" fontId="25" fillId="2" borderId="1" xfId="0" applyFont="1" applyFill="1" applyBorder="1" applyAlignment="1" applyProtection="1">
      <alignment horizontal="right" vertical="center"/>
    </xf>
    <xf numFmtId="0" fontId="27" fillId="2" borderId="24" xfId="0" applyFont="1" applyFill="1" applyBorder="1" applyAlignment="1" applyProtection="1">
      <alignment horizontal="left" vertical="top" wrapText="1"/>
      <protection locked="0"/>
    </xf>
    <xf numFmtId="0" fontId="27" fillId="2" borderId="63" xfId="0" applyFont="1" applyFill="1" applyBorder="1" applyAlignment="1" applyProtection="1">
      <alignment horizontal="left" vertical="top" wrapText="1"/>
      <protection locked="0"/>
    </xf>
    <xf numFmtId="0" fontId="40" fillId="2" borderId="4" xfId="0" applyFont="1" applyFill="1" applyBorder="1" applyAlignment="1" applyProtection="1">
      <alignment horizontal="right" vertical="center"/>
    </xf>
    <xf numFmtId="0" fontId="40" fillId="2" borderId="0" xfId="0" applyFont="1" applyFill="1" applyBorder="1" applyAlignment="1" applyProtection="1">
      <alignment horizontal="right" vertical="center"/>
    </xf>
    <xf numFmtId="0" fontId="36" fillId="2" borderId="9"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xf>
    <xf numFmtId="0" fontId="36" fillId="2" borderId="11" xfId="0" applyFont="1" applyFill="1" applyBorder="1" applyAlignment="1" applyProtection="1">
      <alignment horizontal="center" vertical="center" wrapText="1"/>
    </xf>
    <xf numFmtId="0" fontId="3" fillId="3" borderId="68"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3" fillId="3" borderId="69" xfId="0" applyFont="1" applyFill="1" applyBorder="1" applyAlignment="1" applyProtection="1">
      <alignment horizontal="left" vertical="center"/>
      <protection locked="0"/>
    </xf>
    <xf numFmtId="0" fontId="3" fillId="2" borderId="4" xfId="0" applyFont="1" applyFill="1" applyBorder="1" applyProtection="1"/>
    <xf numFmtId="0" fontId="3" fillId="2" borderId="34" xfId="0" applyFont="1" applyFill="1" applyBorder="1" applyProtection="1"/>
    <xf numFmtId="0" fontId="27" fillId="2" borderId="4" xfId="0" applyFont="1" applyFill="1" applyBorder="1" applyAlignment="1" applyProtection="1">
      <alignment horizontal="left" vertical="center" wrapText="1"/>
    </xf>
    <xf numFmtId="0" fontId="27" fillId="2" borderId="34" xfId="0" applyFont="1" applyFill="1" applyBorder="1" applyAlignment="1" applyProtection="1">
      <alignment horizontal="left" vertical="center" wrapText="1"/>
    </xf>
    <xf numFmtId="0" fontId="3" fillId="2" borderId="5" xfId="0" applyFont="1" applyFill="1" applyBorder="1" applyProtection="1"/>
    <xf numFmtId="0" fontId="3" fillId="2" borderId="60" xfId="0" applyFont="1" applyFill="1" applyBorder="1" applyProtection="1"/>
    <xf numFmtId="40" fontId="40" fillId="2" borderId="0" xfId="0" applyNumberFormat="1" applyFont="1" applyFill="1" applyBorder="1" applyAlignment="1" applyProtection="1">
      <alignment horizontal="left"/>
    </xf>
    <xf numFmtId="40" fontId="40" fillId="2" borderId="1" xfId="0" applyNumberFormat="1" applyFont="1" applyFill="1" applyBorder="1" applyAlignment="1" applyProtection="1">
      <alignment horizontal="left"/>
    </xf>
    <xf numFmtId="0" fontId="24" fillId="2" borderId="33"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3" fillId="3" borderId="23" xfId="0" applyFont="1" applyFill="1" applyBorder="1" applyAlignment="1" applyProtection="1">
      <alignment horizontal="left" vertical="center"/>
      <protection locked="0"/>
    </xf>
    <xf numFmtId="0" fontId="3" fillId="3" borderId="38" xfId="0" applyFont="1" applyFill="1" applyBorder="1" applyAlignment="1" applyProtection="1">
      <alignment horizontal="left" vertical="center"/>
      <protection locked="0"/>
    </xf>
    <xf numFmtId="0" fontId="3" fillId="3" borderId="39" xfId="0" applyFont="1" applyFill="1" applyBorder="1" applyAlignment="1" applyProtection="1">
      <alignment horizontal="left" vertical="center"/>
      <protection locked="0"/>
    </xf>
    <xf numFmtId="0" fontId="0" fillId="3" borderId="65" xfId="0" applyFill="1" applyBorder="1" applyAlignment="1" applyProtection="1">
      <alignment horizontal="center"/>
      <protection locked="0"/>
    </xf>
    <xf numFmtId="0" fontId="0" fillId="3" borderId="6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63" xfId="0" applyFill="1" applyBorder="1" applyAlignment="1" applyProtection="1">
      <alignment horizontal="center"/>
      <protection locked="0"/>
    </xf>
    <xf numFmtId="0" fontId="0" fillId="2" borderId="62"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34" fillId="2" borderId="61" xfId="0" applyFont="1" applyFill="1" applyBorder="1" applyAlignment="1" applyProtection="1">
      <alignment horizontal="center"/>
    </xf>
    <xf numFmtId="0" fontId="34" fillId="2" borderId="41" xfId="0" applyFont="1" applyFill="1" applyBorder="1" applyAlignment="1" applyProtection="1">
      <alignment horizontal="center"/>
    </xf>
    <xf numFmtId="0" fontId="3" fillId="2" borderId="3"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3" borderId="62" xfId="0" applyFont="1" applyFill="1" applyBorder="1" applyAlignment="1" applyProtection="1">
      <alignment vertical="center" wrapText="1"/>
      <protection locked="0"/>
    </xf>
    <xf numFmtId="0" fontId="3" fillId="3" borderId="26" xfId="0" applyFont="1" applyFill="1" applyBorder="1" applyAlignment="1" applyProtection="1">
      <alignment vertical="center" wrapText="1"/>
      <protection locked="0"/>
    </xf>
    <xf numFmtId="0" fontId="0" fillId="3" borderId="62" xfId="0" applyFill="1" applyBorder="1" applyAlignment="1" applyProtection="1">
      <alignment vertical="center" wrapText="1"/>
      <protection locked="0"/>
    </xf>
    <xf numFmtId="0" fontId="0" fillId="3" borderId="26" xfId="0" applyFill="1" applyBorder="1" applyAlignment="1" applyProtection="1">
      <alignment vertical="center" wrapText="1"/>
      <protection locked="0"/>
    </xf>
    <xf numFmtId="0" fontId="44" fillId="2" borderId="35" xfId="0" applyFont="1" applyFill="1" applyBorder="1" applyAlignment="1" applyProtection="1">
      <alignment horizontal="right"/>
    </xf>
    <xf numFmtId="0" fontId="4" fillId="2" borderId="7" xfId="0" applyFont="1" applyFill="1" applyBorder="1" applyAlignment="1" applyProtection="1">
      <alignment horizontal="right"/>
    </xf>
    <xf numFmtId="0" fontId="4" fillId="2" borderId="2" xfId="0" applyFont="1" applyFill="1" applyBorder="1" applyAlignment="1" applyProtection="1">
      <alignment horizontal="right"/>
    </xf>
    <xf numFmtId="0" fontId="38" fillId="2" borderId="43" xfId="0" applyFont="1" applyFill="1" applyBorder="1" applyAlignment="1" applyProtection="1">
      <alignment horizontal="right" vertical="top" wrapText="1"/>
    </xf>
    <xf numFmtId="0" fontId="25" fillId="2" borderId="5"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3" fillId="0" borderId="0" xfId="0" applyFont="1" applyAlignment="1">
      <alignment horizontal="center"/>
    </xf>
    <xf numFmtId="0" fontId="0" fillId="0" borderId="0" xfId="0" applyAlignment="1">
      <alignment horizontal="center"/>
    </xf>
    <xf numFmtId="0" fontId="39" fillId="0" borderId="0" xfId="0" applyFont="1" applyAlignment="1">
      <alignment horizontal="left" wrapText="1"/>
    </xf>
    <xf numFmtId="0" fontId="3" fillId="0" borderId="34" xfId="0" applyFont="1" applyBorder="1" applyAlignment="1">
      <alignment horizontal="right" vertical="center"/>
    </xf>
    <xf numFmtId="0" fontId="0" fillId="0" borderId="34" xfId="0" applyBorder="1" applyAlignment="1">
      <alignment horizontal="right" vertical="center"/>
    </xf>
    <xf numFmtId="0" fontId="3" fillId="0" borderId="24" xfId="0" applyFont="1" applyFill="1" applyBorder="1" applyAlignment="1">
      <alignment horizontal="right"/>
    </xf>
    <xf numFmtId="0" fontId="3" fillId="0" borderId="26" xfId="0" applyFont="1" applyFill="1" applyBorder="1" applyAlignment="1">
      <alignment horizontal="right"/>
    </xf>
    <xf numFmtId="0" fontId="3" fillId="0" borderId="24" xfId="0" applyFont="1" applyBorder="1" applyAlignment="1">
      <alignment horizontal="right"/>
    </xf>
    <xf numFmtId="0" fontId="3" fillId="0" borderId="26" xfId="0" applyFont="1" applyBorder="1" applyAlignment="1">
      <alignment horizontal="right"/>
    </xf>
    <xf numFmtId="0" fontId="22" fillId="0" borderId="24" xfId="8" applyFill="1" applyBorder="1" applyAlignment="1">
      <alignment horizontal="right"/>
    </xf>
    <xf numFmtId="0" fontId="22" fillId="0" borderId="26" xfId="8" applyFill="1" applyBorder="1" applyAlignment="1">
      <alignment horizontal="right"/>
    </xf>
    <xf numFmtId="0" fontId="3" fillId="0" borderId="25" xfId="0" applyFont="1" applyBorder="1" applyAlignment="1">
      <alignment horizontal="right"/>
    </xf>
    <xf numFmtId="0" fontId="4" fillId="2" borderId="23" xfId="0" applyFont="1" applyFill="1" applyBorder="1" applyAlignment="1">
      <alignment horizont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3" fillId="2" borderId="0" xfId="0" applyFont="1" applyFill="1" applyAlignment="1">
      <alignment horizontal="left"/>
    </xf>
    <xf numFmtId="0" fontId="0" fillId="2" borderId="0" xfId="0" applyFill="1" applyAlignment="1">
      <alignment horizontal="left"/>
    </xf>
    <xf numFmtId="0" fontId="4" fillId="2" borderId="28" xfId="0" applyFont="1" applyFill="1" applyBorder="1" applyAlignment="1">
      <alignment horizontal="center"/>
    </xf>
    <xf numFmtId="0" fontId="4" fillId="0" borderId="0" xfId="0" applyFont="1" applyAlignment="1">
      <alignment horizontal="center" vertical="center"/>
    </xf>
    <xf numFmtId="0" fontId="3" fillId="0" borderId="36" xfId="0" applyFont="1" applyBorder="1"/>
    <xf numFmtId="0" fontId="3" fillId="0" borderId="39" xfId="0" applyFont="1" applyBorder="1"/>
    <xf numFmtId="0" fontId="3" fillId="0" borderId="23" xfId="0" applyFont="1" applyBorder="1" applyAlignment="1">
      <alignment horizontal="center" wrapText="1"/>
    </xf>
    <xf numFmtId="0" fontId="3" fillId="0" borderId="33" xfId="0" applyFont="1" applyBorder="1" applyAlignment="1">
      <alignment wrapText="1"/>
    </xf>
    <xf numFmtId="0" fontId="3" fillId="0" borderId="0" xfId="0" applyFont="1" applyBorder="1" applyAlignment="1">
      <alignment wrapText="1"/>
    </xf>
    <xf numFmtId="0" fontId="3" fillId="0" borderId="34" xfId="0" applyFont="1" applyBorder="1" applyAlignment="1">
      <alignment wrapText="1"/>
    </xf>
    <xf numFmtId="0" fontId="4" fillId="0" borderId="57" xfId="0" applyFont="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3" fillId="0" borderId="36" xfId="0" applyFont="1" applyBorder="1" applyAlignment="1">
      <alignment horizontal="left" vertical="center" wrapText="1"/>
    </xf>
    <xf numFmtId="0" fontId="0" fillId="0" borderId="33" xfId="0" applyBorder="1" applyAlignment="1">
      <alignment wrapText="1"/>
    </xf>
    <xf numFmtId="0" fontId="0" fillId="0" borderId="0" xfId="0" applyBorder="1" applyAlignment="1">
      <alignment wrapText="1"/>
    </xf>
    <xf numFmtId="0" fontId="0" fillId="0" borderId="34" xfId="0" applyBorder="1" applyAlignment="1">
      <alignment wrapText="1"/>
    </xf>
    <xf numFmtId="167" fontId="3" fillId="12" borderId="32" xfId="0" applyNumberFormat="1" applyFont="1" applyFill="1" applyBorder="1" applyAlignment="1">
      <alignment horizontal="center" vertical="center" wrapText="1"/>
    </xf>
    <xf numFmtId="167" fontId="3" fillId="12" borderId="56" xfId="0" applyNumberFormat="1" applyFont="1" applyFill="1" applyBorder="1" applyAlignment="1">
      <alignment horizontal="center" vertical="center" wrapText="1"/>
    </xf>
    <xf numFmtId="0" fontId="1" fillId="9" borderId="23" xfId="9" applyBorder="1" applyAlignment="1">
      <alignment horizontal="center"/>
    </xf>
    <xf numFmtId="167" fontId="1" fillId="9" borderId="23" xfId="9" applyNumberFormat="1" applyBorder="1" applyAlignment="1">
      <alignment horizontal="center" wrapText="1"/>
    </xf>
    <xf numFmtId="167" fontId="1" fillId="10" borderId="23" xfId="10" quotePrefix="1" applyNumberFormat="1" applyBorder="1" applyAlignment="1">
      <alignment horizontal="center" wrapText="1"/>
    </xf>
    <xf numFmtId="0" fontId="1" fillId="10" borderId="23" xfId="10" applyBorder="1" applyAlignment="1">
      <alignment horizontal="center"/>
    </xf>
    <xf numFmtId="8" fontId="3" fillId="13" borderId="0" xfId="0" applyNumberFormat="1" applyFont="1" applyFill="1" applyBorder="1" applyAlignment="1">
      <alignment horizontal="center"/>
    </xf>
    <xf numFmtId="44" fontId="3" fillId="13" borderId="34" xfId="0" applyNumberFormat="1" applyFont="1" applyFill="1" applyBorder="1" applyAlignment="1">
      <alignment horizontal="center"/>
    </xf>
    <xf numFmtId="0" fontId="3" fillId="0" borderId="33" xfId="0" applyFont="1" applyBorder="1" applyAlignment="1">
      <alignment horizontal="right"/>
    </xf>
    <xf numFmtId="0" fontId="3" fillId="0" borderId="0" xfId="0" applyFont="1" applyBorder="1" applyAlignment="1">
      <alignment horizontal="right"/>
    </xf>
  </cellXfs>
  <cellStyles count="12">
    <cellStyle name="40% - Accent2" xfId="9" builtinId="35"/>
    <cellStyle name="40% - Accent4" xfId="10" builtinId="43"/>
    <cellStyle name="40% - Accent5" xfId="11" builtinId="47"/>
    <cellStyle name="Currency" xfId="1" builtinId="4"/>
    <cellStyle name="Currency 2" xfId="6"/>
    <cellStyle name="Hyperlink" xfId="3" builtinId="8"/>
    <cellStyle name="Hyperlink 2" xfId="7"/>
    <cellStyle name="Normal" xfId="0" builtinId="0"/>
    <cellStyle name="Normal 2" xfId="4"/>
    <cellStyle name="Percent" xfId="2" builtinId="5"/>
    <cellStyle name="Percent 2" xfId="5"/>
    <cellStyle name="Total" xfId="8" builtinId="25"/>
  </cellStyles>
  <dxfs count="2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dxf>
    <dxf>
      <font>
        <color theme="0" tint="-0.14996795556505021"/>
      </font>
    </dxf>
    <dxf>
      <font>
        <color theme="9" tint="0.39994506668294322"/>
      </font>
    </dxf>
    <dxf>
      <font>
        <color theme="0" tint="-0.14996795556505021"/>
      </font>
    </dxf>
    <dxf>
      <font>
        <color theme="9" tint="0.39994506668294322"/>
      </font>
    </dxf>
    <dxf>
      <font>
        <color theme="9" tint="0.39994506668294322"/>
      </font>
    </dxf>
    <dxf>
      <font>
        <color theme="0" tint="-0.14996795556505021"/>
      </font>
    </dxf>
    <dxf>
      <font>
        <color theme="9" tint="0.39994506668294322"/>
      </font>
    </dxf>
    <dxf>
      <font>
        <color theme="0" tint="-0.14996795556505021"/>
      </font>
    </dxf>
    <dxf>
      <font>
        <color theme="0" tint="-0.14996795556505021"/>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EFF8B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268451</xdr:colOff>
      <xdr:row>0</xdr:row>
      <xdr:rowOff>38865</xdr:rowOff>
    </xdr:from>
    <xdr:to>
      <xdr:col>1</xdr:col>
      <xdr:colOff>721179</xdr:colOff>
      <xdr:row>0</xdr:row>
      <xdr:rowOff>312964</xdr:rowOff>
    </xdr:to>
    <xdr:pic>
      <xdr:nvPicPr>
        <xdr:cNvPr id="7" name="Picture 6" descr="sac_0227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51" y="38865"/>
          <a:ext cx="1384817" cy="27409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0</xdr:col>
      <xdr:colOff>190500</xdr:colOff>
      <xdr:row>0</xdr:row>
      <xdr:rowOff>292553</xdr:rowOff>
    </xdr:from>
    <xdr:to>
      <xdr:col>1</xdr:col>
      <xdr:colOff>762000</xdr:colOff>
      <xdr:row>1</xdr:row>
      <xdr:rowOff>93157</xdr:rowOff>
    </xdr:to>
    <xdr:sp macro="" textlink="">
      <xdr:nvSpPr>
        <xdr:cNvPr id="6176" name="Text Box 32"/>
        <xdr:cNvSpPr txBox="1">
          <a:spLocks noChangeArrowheads="1"/>
        </xdr:cNvSpPr>
      </xdr:nvSpPr>
      <xdr:spPr bwMode="auto">
        <a:xfrm>
          <a:off x="190500" y="292553"/>
          <a:ext cx="1503589" cy="317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r" rtl="0">
            <a:defRPr sz="1000"/>
          </a:pPr>
          <a:r>
            <a:rPr lang="en-US" sz="600" b="0" i="0" u="none" strike="noStrike" baseline="0">
              <a:solidFill>
                <a:srgbClr val="0070C0"/>
              </a:solidFill>
              <a:latin typeface="Arial"/>
              <a:cs typeface="Arial"/>
            </a:rPr>
            <a:t>DEPARTMENT OF HEALTH  SERVICES</a:t>
          </a:r>
        </a:p>
        <a:p>
          <a:pPr algn="r" rtl="0">
            <a:defRPr sz="1000"/>
          </a:pPr>
          <a:r>
            <a:rPr lang="en-US" sz="600" b="0" i="1" u="none" strike="noStrike" baseline="0">
              <a:solidFill>
                <a:srgbClr val="0070C0"/>
              </a:solidFill>
              <a:latin typeface="Arial"/>
              <a:cs typeface="Arial"/>
            </a:rPr>
            <a:t>Division of Behavioral Health</a:t>
          </a:r>
        </a:p>
        <a:p>
          <a:pPr algn="l" rtl="0">
            <a:defRPr sz="1000"/>
          </a:pPr>
          <a:endParaRPr lang="en-US" sz="1000" b="0" i="1" u="none" strike="noStrike" baseline="0">
            <a:solidFill>
              <a:srgbClr val="0070C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33</xdr:row>
          <xdr:rowOff>180975</xdr:rowOff>
        </xdr:from>
        <xdr:to>
          <xdr:col>0</xdr:col>
          <xdr:colOff>428625</xdr:colOff>
          <xdr:row>33</xdr:row>
          <xdr:rowOff>333375</xdr:rowOff>
        </xdr:to>
        <xdr:sp macro="" textlink="">
          <xdr:nvSpPr>
            <xdr:cNvPr id="18439" name="CheckBox1" hidden="1">
              <a:extLst>
                <a:ext uri="{63B3BB69-23CF-44E3-9099-C40C66FF867C}">
                  <a14:compatExt spid="_x0000_s18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33</xdr:row>
          <xdr:rowOff>200025</xdr:rowOff>
        </xdr:from>
        <xdr:to>
          <xdr:col>0</xdr:col>
          <xdr:colOff>1257300</xdr:colOff>
          <xdr:row>33</xdr:row>
          <xdr:rowOff>314325</xdr:rowOff>
        </xdr:to>
        <xdr:sp macro="" textlink="">
          <xdr:nvSpPr>
            <xdr:cNvPr id="18440" name="CheckBox2" hidden="1">
              <a:extLst>
                <a:ext uri="{63B3BB69-23CF-44E3-9099-C40C66FF867C}">
                  <a14:compatExt spid="_x0000_s18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www.huduser.gov/portal/datasets/fmr/fmrs/FY2020_code/select_Geography.odn" TargetMode="External"/><Relationship Id="rId1" Type="http://schemas.openxmlformats.org/officeDocument/2006/relationships/hyperlink" Target="https://www.huduser.gov/portal/datasets/il/il2019/2019MedCalc.odn?inputname=Sacramento+County&amp;area_id=METRO40900M40900&amp;fips=%24fips%24&amp;type=%24type%24&amp;year=2019&amp;yy=19&amp;stname=California&amp;stusps=%24stusps%24&amp;statefp=06&amp;incpath=%24incpath%24"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7"/>
  <sheetViews>
    <sheetView workbookViewId="0">
      <selection activeCell="B28" sqref="B28"/>
    </sheetView>
  </sheetViews>
  <sheetFormatPr defaultColWidth="9.140625" defaultRowHeight="12.75"/>
  <cols>
    <col min="1" max="1" width="12.140625" style="4" customWidth="1"/>
    <col min="2" max="2" width="15.140625" style="4" customWidth="1"/>
    <col min="3" max="3" width="11.28515625" style="4" customWidth="1"/>
    <col min="4" max="5" width="9.140625" style="4"/>
    <col min="6" max="6" width="10.5703125" style="4" customWidth="1"/>
    <col min="7" max="7" width="10.28515625" style="4" bestFit="1" customWidth="1"/>
    <col min="8" max="8" width="9.140625" style="4"/>
    <col min="9" max="9" width="10.7109375" style="30" customWidth="1"/>
    <col min="10" max="10" width="9.140625" style="4"/>
    <col min="11" max="11" width="13.85546875" style="4" customWidth="1"/>
    <col min="12" max="12" width="19.140625" style="4" customWidth="1"/>
    <col min="13" max="14" width="9.140625" style="31"/>
    <col min="15" max="16384" width="9.140625" style="4"/>
  </cols>
  <sheetData>
    <row r="1" spans="1:14" ht="23.25" customHeight="1" thickBot="1">
      <c r="A1" s="312" t="s">
        <v>61</v>
      </c>
      <c r="B1" s="313"/>
      <c r="C1" s="313"/>
      <c r="D1" s="313"/>
      <c r="E1" s="313"/>
      <c r="F1" s="313"/>
      <c r="G1" s="313"/>
      <c r="H1" s="313"/>
      <c r="I1" s="314"/>
      <c r="M1" s="5"/>
      <c r="N1" s="5"/>
    </row>
    <row r="2" spans="1:14" ht="13.5" thickBot="1">
      <c r="A2" s="6"/>
      <c r="B2" s="7"/>
      <c r="C2" s="7"/>
      <c r="D2" s="7"/>
      <c r="E2" s="8"/>
      <c r="F2" s="7"/>
      <c r="G2" s="7"/>
      <c r="H2" s="7"/>
      <c r="I2" s="9"/>
      <c r="M2" s="5"/>
      <c r="N2" s="5"/>
    </row>
    <row r="3" spans="1:14" ht="13.5" thickBot="1">
      <c r="A3" s="6" t="s">
        <v>65</v>
      </c>
      <c r="B3" s="7"/>
      <c r="C3" s="309" t="s">
        <v>58</v>
      </c>
      <c r="D3" s="310"/>
      <c r="E3" s="310"/>
      <c r="F3" s="311"/>
      <c r="G3" s="7"/>
      <c r="H3" s="7"/>
      <c r="I3" s="9"/>
      <c r="M3" s="5"/>
      <c r="N3" s="5"/>
    </row>
    <row r="4" spans="1:14" ht="13.5" thickBot="1">
      <c r="A4" s="6"/>
      <c r="B4" s="7"/>
      <c r="C4" s="7"/>
      <c r="D4" s="7"/>
      <c r="E4" s="7"/>
      <c r="F4" s="7"/>
      <c r="G4" s="7"/>
      <c r="H4" s="7"/>
      <c r="I4" s="9"/>
      <c r="M4" s="5"/>
      <c r="N4" s="5"/>
    </row>
    <row r="5" spans="1:14" ht="13.5" thickBot="1">
      <c r="A5" s="6" t="s">
        <v>26</v>
      </c>
      <c r="B5" s="7"/>
      <c r="C5" s="32">
        <v>3</v>
      </c>
      <c r="D5" s="7" t="s">
        <v>21</v>
      </c>
      <c r="E5" s="77" t="str">
        <f>"Eligible for Units with "&amp; IF(C5&lt;8,(VLOOKUP(C5,'OCCUPANCY_days in month'!A2:C10,2,FALSE)&amp;" - "&amp;VLOOKUP(C5,'OCCUPANCY_days in month'!A2:C10,3,FALSE)&amp;" Bedrooms"), "4 Bedrooms")</f>
        <v>Eligible for Units with 1 - 3 Bedrooms</v>
      </c>
      <c r="F5" s="78"/>
      <c r="G5" s="78"/>
      <c r="H5" s="7"/>
      <c r="I5" s="9"/>
      <c r="M5" s="5"/>
      <c r="N5" s="5"/>
    </row>
    <row r="6" spans="1:14" ht="13.5" thickBot="1">
      <c r="A6" s="6" t="s">
        <v>27</v>
      </c>
      <c r="B6" s="7"/>
      <c r="C6" s="32">
        <v>2</v>
      </c>
      <c r="D6" s="7" t="s">
        <v>24</v>
      </c>
      <c r="E6" s="81" t="s">
        <v>84</v>
      </c>
      <c r="F6" s="81" t="s">
        <v>85</v>
      </c>
      <c r="G6" s="81" t="s">
        <v>86</v>
      </c>
      <c r="H6" s="79"/>
      <c r="I6" s="80"/>
      <c r="M6" s="5"/>
      <c r="N6" s="5"/>
    </row>
    <row r="7" spans="1:14" ht="13.5" thickBot="1">
      <c r="A7" s="22" t="s">
        <v>83</v>
      </c>
      <c r="B7" s="7"/>
      <c r="C7" s="32">
        <v>95611</v>
      </c>
      <c r="D7" s="7"/>
      <c r="E7" s="81">
        <f>MATCH(C6,FMRZIP_AMI!B2:F2,0)</f>
        <v>3</v>
      </c>
      <c r="F7" s="81">
        <f>MATCH(C7,FMRZIP_AMI!A3:A72, 0)</f>
        <v>5</v>
      </c>
      <c r="G7" s="81">
        <f>INDEX(FMRZIP_AMI!A3:F72,2,MATCH(E7,FMRZIP_AMI!B2:F2,0))</f>
        <v>1384</v>
      </c>
      <c r="H7" s="79"/>
      <c r="I7" s="80"/>
      <c r="M7" s="5"/>
      <c r="N7" s="5"/>
    </row>
    <row r="8" spans="1:14" ht="13.5" thickBot="1">
      <c r="A8" s="6" t="s">
        <v>28</v>
      </c>
      <c r="B8" s="7"/>
      <c r="C8" s="7"/>
      <c r="D8" s="7"/>
      <c r="E8" s="79" t="s">
        <v>88</v>
      </c>
      <c r="F8" s="79"/>
      <c r="G8" s="79"/>
      <c r="H8" s="79"/>
      <c r="I8" s="80"/>
      <c r="K8" s="315" t="s">
        <v>82</v>
      </c>
      <c r="L8" s="316"/>
      <c r="M8" s="5"/>
      <c r="N8" s="5"/>
    </row>
    <row r="9" spans="1:14" ht="13.5" thickBot="1">
      <c r="A9" s="6"/>
      <c r="B9" s="10" t="s">
        <v>18</v>
      </c>
      <c r="C9" s="7"/>
      <c r="D9" s="7" t="s">
        <v>17</v>
      </c>
      <c r="E9" s="7"/>
      <c r="F9" s="7"/>
      <c r="G9" s="7"/>
      <c r="H9" s="7"/>
      <c r="I9" s="9"/>
      <c r="K9" s="11" t="s">
        <v>22</v>
      </c>
      <c r="L9" s="12" t="s">
        <v>23</v>
      </c>
      <c r="M9" s="5"/>
      <c r="N9" s="5"/>
    </row>
    <row r="10" spans="1:14" ht="13.5" thickBot="1">
      <c r="A10" s="6">
        <v>1</v>
      </c>
      <c r="B10" s="32" t="s">
        <v>59</v>
      </c>
      <c r="C10" s="7"/>
      <c r="D10" s="38">
        <v>478</v>
      </c>
      <c r="E10" s="8" t="s">
        <v>8</v>
      </c>
      <c r="F10" s="50">
        <f>D10*12</f>
        <v>5736</v>
      </c>
      <c r="G10" s="7"/>
      <c r="H10" s="7"/>
      <c r="I10" s="9"/>
      <c r="K10" s="64">
        <v>1</v>
      </c>
      <c r="L10" s="65">
        <v>58520</v>
      </c>
      <c r="M10" s="5"/>
      <c r="N10" s="14"/>
    </row>
    <row r="11" spans="1:14" ht="13.5" thickBot="1">
      <c r="A11" s="6">
        <v>2</v>
      </c>
      <c r="B11" s="32"/>
      <c r="C11" s="7"/>
      <c r="D11" s="38"/>
      <c r="E11" s="8" t="s">
        <v>8</v>
      </c>
      <c r="F11" s="42">
        <f>D11*12</f>
        <v>0</v>
      </c>
      <c r="G11" s="7"/>
      <c r="H11" s="7"/>
      <c r="I11" s="9"/>
      <c r="K11" s="64">
        <v>2</v>
      </c>
      <c r="L11" s="65">
        <v>66880</v>
      </c>
      <c r="M11" s="5"/>
      <c r="N11" s="14"/>
    </row>
    <row r="12" spans="1:14" ht="13.5" thickBot="1">
      <c r="A12" s="6">
        <v>3</v>
      </c>
      <c r="B12" s="32"/>
      <c r="C12" s="7"/>
      <c r="D12" s="38"/>
      <c r="E12" s="8" t="s">
        <v>8</v>
      </c>
      <c r="F12" s="48">
        <f>D12*12</f>
        <v>0</v>
      </c>
      <c r="G12" s="7"/>
      <c r="H12" s="7"/>
      <c r="I12" s="9"/>
      <c r="K12" s="64">
        <v>3</v>
      </c>
      <c r="L12" s="65">
        <v>75240</v>
      </c>
      <c r="M12" s="5"/>
      <c r="N12" s="14"/>
    </row>
    <row r="13" spans="1:14" ht="13.5" thickBot="1">
      <c r="A13" s="6"/>
      <c r="B13" s="7"/>
      <c r="C13" s="7"/>
      <c r="D13" s="7"/>
      <c r="E13" s="15" t="s">
        <v>4</v>
      </c>
      <c r="F13" s="7"/>
      <c r="G13" s="7"/>
      <c r="H13" s="7"/>
      <c r="I13" s="9"/>
      <c r="K13" s="64">
        <v>4</v>
      </c>
      <c r="L13" s="65">
        <v>83600</v>
      </c>
      <c r="M13" s="5"/>
      <c r="N13" s="14"/>
    </row>
    <row r="14" spans="1:14" ht="13.5" thickBot="1">
      <c r="A14" s="6"/>
      <c r="B14" s="15"/>
      <c r="C14" s="7"/>
      <c r="D14" s="7"/>
      <c r="E14" s="7"/>
      <c r="F14" s="7"/>
      <c r="G14" s="7"/>
      <c r="H14" s="7"/>
      <c r="I14" s="49">
        <f>SUM(F10:F12)</f>
        <v>5736</v>
      </c>
      <c r="K14" s="64">
        <v>5</v>
      </c>
      <c r="L14" s="65">
        <v>90288</v>
      </c>
      <c r="M14" s="16"/>
      <c r="N14" s="14"/>
    </row>
    <row r="15" spans="1:14" ht="13.5" thickBot="1">
      <c r="A15" s="6" t="s">
        <v>29</v>
      </c>
      <c r="B15" s="7"/>
      <c r="C15" s="7"/>
      <c r="D15" s="7"/>
      <c r="E15" s="7"/>
      <c r="F15" s="7"/>
      <c r="G15" s="7"/>
      <c r="H15" s="7"/>
      <c r="I15" s="9"/>
      <c r="K15" s="64">
        <v>6</v>
      </c>
      <c r="L15" s="65">
        <v>96976</v>
      </c>
      <c r="M15" s="16"/>
      <c r="N15" s="14"/>
    </row>
    <row r="16" spans="1:14" ht="13.5" thickBot="1">
      <c r="A16" s="6" t="s">
        <v>15</v>
      </c>
      <c r="B16" s="7"/>
      <c r="C16" s="37">
        <f>I14/(VLOOKUP(C5,K10:L17,2,FALSE))</f>
        <v>7.6236044657097282E-2</v>
      </c>
      <c r="D16" s="17" t="s">
        <v>16</v>
      </c>
      <c r="E16" s="10"/>
      <c r="F16" s="7"/>
      <c r="G16" s="7"/>
      <c r="H16" s="7"/>
      <c r="I16" s="9"/>
      <c r="K16" s="64">
        <v>7</v>
      </c>
      <c r="L16" s="65">
        <v>103664</v>
      </c>
      <c r="M16" s="16"/>
      <c r="N16" s="14"/>
    </row>
    <row r="17" spans="1:17" ht="13.5" thickBot="1">
      <c r="A17" s="6"/>
      <c r="B17" s="7"/>
      <c r="C17" s="7"/>
      <c r="D17" s="7"/>
      <c r="E17" s="7"/>
      <c r="F17" s="7"/>
      <c r="G17" s="7"/>
      <c r="H17" s="7"/>
      <c r="I17" s="9"/>
      <c r="K17" s="66">
        <v>8</v>
      </c>
      <c r="L17" s="67">
        <v>110352</v>
      </c>
      <c r="M17" s="16"/>
      <c r="N17" s="14"/>
    </row>
    <row r="18" spans="1:17" ht="13.5" thickBot="1">
      <c r="A18" s="22" t="s">
        <v>72</v>
      </c>
      <c r="B18" s="7"/>
      <c r="C18" s="7"/>
      <c r="D18" s="7"/>
      <c r="E18" s="7"/>
      <c r="F18" s="7"/>
      <c r="G18" s="7"/>
      <c r="H18" s="7"/>
      <c r="I18" s="9"/>
      <c r="M18" s="5"/>
      <c r="N18" s="5"/>
    </row>
    <row r="19" spans="1:17" ht="13.5" thickBot="1">
      <c r="A19" s="6"/>
      <c r="B19" s="7" t="s">
        <v>14</v>
      </c>
      <c r="C19" s="7"/>
      <c r="D19" s="7"/>
      <c r="E19" s="32">
        <v>2</v>
      </c>
      <c r="F19" s="7" t="s">
        <v>10</v>
      </c>
      <c r="G19" s="7"/>
      <c r="H19" s="7"/>
      <c r="I19" s="40">
        <f>E19*480</f>
        <v>960</v>
      </c>
      <c r="K19" s="29"/>
      <c r="L19" s="29"/>
      <c r="M19" s="29"/>
      <c r="N19" s="29"/>
      <c r="O19" s="29"/>
      <c r="P19" s="29"/>
      <c r="Q19" s="29"/>
    </row>
    <row r="20" spans="1:17" ht="13.5" thickBot="1">
      <c r="A20" s="6"/>
      <c r="B20" s="7" t="s">
        <v>5</v>
      </c>
      <c r="C20" s="7"/>
      <c r="D20" s="7"/>
      <c r="E20" s="7"/>
      <c r="F20" s="7"/>
      <c r="G20" s="7"/>
      <c r="H20" s="7"/>
      <c r="I20" s="40"/>
      <c r="K20" s="29"/>
      <c r="L20" s="29"/>
      <c r="M20" s="29"/>
      <c r="N20" s="29"/>
      <c r="O20" s="29"/>
      <c r="P20" s="29"/>
      <c r="Q20" s="29"/>
    </row>
    <row r="21" spans="1:17" ht="13.5" thickBot="1">
      <c r="A21" s="6"/>
      <c r="B21" s="7" t="s">
        <v>66</v>
      </c>
      <c r="C21" s="7"/>
      <c r="D21" s="7"/>
      <c r="E21" s="7"/>
      <c r="F21" s="7"/>
      <c r="G21" s="51"/>
      <c r="H21" s="7"/>
      <c r="I21" s="40"/>
      <c r="K21" s="29"/>
      <c r="L21" s="29"/>
      <c r="M21" s="29"/>
      <c r="N21" s="29"/>
      <c r="O21" s="29"/>
      <c r="P21" s="29"/>
      <c r="Q21" s="29"/>
    </row>
    <row r="22" spans="1:17" ht="13.5" thickBot="1">
      <c r="A22" s="6"/>
      <c r="B22" s="7" t="s">
        <v>62</v>
      </c>
      <c r="C22" s="7"/>
      <c r="D22" s="7"/>
      <c r="E22" s="7"/>
      <c r="F22" s="7"/>
      <c r="G22" s="7"/>
      <c r="H22" s="7"/>
      <c r="I22" s="41"/>
      <c r="K22" s="29"/>
      <c r="L22" s="29"/>
      <c r="M22" s="29"/>
      <c r="N22" s="29"/>
      <c r="O22" s="29"/>
      <c r="P22" s="29"/>
      <c r="Q22" s="29"/>
    </row>
    <row r="23" spans="1:17" ht="14.25" thickTop="1" thickBot="1">
      <c r="A23" s="6"/>
      <c r="B23" s="7"/>
      <c r="C23" s="7"/>
      <c r="D23" s="7"/>
      <c r="E23" s="7"/>
      <c r="F23" s="7"/>
      <c r="G23" s="15" t="s">
        <v>9</v>
      </c>
      <c r="H23" s="7"/>
      <c r="I23" s="39">
        <f>SUM(I19:I22)</f>
        <v>960</v>
      </c>
      <c r="K23" s="29"/>
      <c r="L23" s="29"/>
      <c r="M23" s="29"/>
      <c r="N23" s="29"/>
      <c r="O23" s="29"/>
      <c r="P23" s="29"/>
      <c r="Q23" s="29"/>
    </row>
    <row r="24" spans="1:17" ht="13.5" thickBot="1">
      <c r="A24" s="6" t="s">
        <v>51</v>
      </c>
      <c r="B24" s="15"/>
      <c r="C24" s="7"/>
      <c r="D24" s="7"/>
      <c r="E24" s="7"/>
      <c r="F24" s="7"/>
      <c r="G24" s="7"/>
      <c r="H24" s="7"/>
      <c r="I24" s="20"/>
      <c r="K24" s="29"/>
      <c r="L24" s="29"/>
      <c r="M24" s="29"/>
      <c r="N24" s="29"/>
      <c r="O24" s="29"/>
      <c r="P24" s="29"/>
      <c r="Q24" s="29"/>
    </row>
    <row r="25" spans="1:17" ht="13.5" thickBot="1">
      <c r="A25" s="6"/>
      <c r="B25" s="23" t="s">
        <v>71</v>
      </c>
      <c r="C25" s="7"/>
      <c r="D25" s="7"/>
      <c r="E25" s="7"/>
      <c r="F25" s="7"/>
      <c r="G25" s="7"/>
      <c r="H25" s="7"/>
      <c r="I25" s="42">
        <f>I14-I23</f>
        <v>4776</v>
      </c>
      <c r="K25" s="29"/>
      <c r="L25" s="29"/>
      <c r="M25" s="29"/>
      <c r="N25" s="29"/>
      <c r="O25" s="29"/>
      <c r="P25" s="29"/>
      <c r="Q25" s="29"/>
    </row>
    <row r="26" spans="1:17" ht="13.5" thickBot="1">
      <c r="A26" s="6"/>
      <c r="B26" s="23" t="s">
        <v>73</v>
      </c>
      <c r="C26" s="7"/>
      <c r="D26" s="7"/>
      <c r="E26" s="7"/>
      <c r="F26" s="7"/>
      <c r="G26" s="7"/>
      <c r="H26" s="7"/>
      <c r="I26" s="42">
        <f>I25/12</f>
        <v>398</v>
      </c>
      <c r="K26" s="29"/>
      <c r="L26" s="29"/>
      <c r="M26" s="29"/>
      <c r="N26" s="29"/>
      <c r="O26" s="29"/>
      <c r="P26" s="29"/>
      <c r="Q26" s="29"/>
    </row>
    <row r="27" spans="1:17" ht="13.5" thickBot="1">
      <c r="A27" s="6"/>
      <c r="B27" s="23" t="s">
        <v>102</v>
      </c>
      <c r="C27" s="10"/>
      <c r="D27" s="10"/>
      <c r="E27" s="10"/>
      <c r="F27" s="10"/>
      <c r="G27" s="10"/>
      <c r="H27" s="10"/>
      <c r="I27" s="52">
        <f>SUM(I26*0.8)</f>
        <v>318.40000000000003</v>
      </c>
      <c r="K27" s="29"/>
      <c r="L27" s="29"/>
      <c r="M27" s="29"/>
      <c r="N27" s="29"/>
      <c r="O27" s="29"/>
      <c r="P27" s="29"/>
      <c r="Q27" s="29"/>
    </row>
    <row r="28" spans="1:17">
      <c r="A28" s="6"/>
      <c r="B28" s="7"/>
      <c r="C28" s="7"/>
      <c r="D28" s="7"/>
      <c r="E28" s="7"/>
      <c r="F28" s="7"/>
      <c r="G28" s="7"/>
      <c r="H28" s="7"/>
      <c r="I28" s="9"/>
      <c r="K28" s="29"/>
      <c r="L28" s="29"/>
      <c r="M28" s="29"/>
      <c r="N28" s="29"/>
      <c r="O28" s="29"/>
      <c r="P28" s="29"/>
      <c r="Q28" s="29"/>
    </row>
    <row r="29" spans="1:17" ht="13.5" thickBot="1">
      <c r="A29" s="22" t="s">
        <v>53</v>
      </c>
      <c r="B29" s="7"/>
      <c r="C29" s="7"/>
      <c r="D29" s="7"/>
      <c r="E29" s="7"/>
      <c r="F29" s="7"/>
      <c r="G29" s="7"/>
      <c r="H29" s="7"/>
      <c r="I29" s="9"/>
      <c r="K29" s="29"/>
      <c r="L29" s="29"/>
      <c r="M29" s="29"/>
      <c r="N29" s="29"/>
      <c r="O29" s="29"/>
      <c r="P29" s="29"/>
      <c r="Q29" s="29"/>
    </row>
    <row r="30" spans="1:17" ht="13.5" thickBot="1">
      <c r="A30" s="6"/>
      <c r="B30" s="15" t="s">
        <v>20</v>
      </c>
      <c r="C30" s="15"/>
      <c r="D30" s="15"/>
      <c r="E30" s="15"/>
      <c r="F30" s="15"/>
      <c r="G30" s="15"/>
      <c r="H30" s="15"/>
      <c r="I30" s="52">
        <f>I27</f>
        <v>318.40000000000003</v>
      </c>
      <c r="K30" s="29"/>
      <c r="L30" s="29"/>
      <c r="M30" s="29"/>
      <c r="N30" s="29"/>
      <c r="O30" s="29"/>
      <c r="P30" s="29"/>
      <c r="Q30" s="29"/>
    </row>
    <row r="31" spans="1:17">
      <c r="A31" s="6"/>
      <c r="B31" s="15"/>
      <c r="C31" s="15"/>
      <c r="D31" s="15"/>
      <c r="E31" s="15"/>
      <c r="F31" s="15"/>
      <c r="G31" s="15"/>
      <c r="H31" s="15"/>
      <c r="I31" s="20"/>
      <c r="K31" s="29"/>
      <c r="L31" s="29"/>
      <c r="M31" s="29"/>
      <c r="N31" s="29"/>
      <c r="O31" s="29"/>
      <c r="P31" s="29"/>
      <c r="Q31" s="29"/>
    </row>
    <row r="32" spans="1:17" ht="13.5" thickBot="1">
      <c r="A32" s="6" t="s">
        <v>63</v>
      </c>
      <c r="B32" s="7"/>
      <c r="C32" s="7"/>
      <c r="D32" s="7"/>
      <c r="E32" s="7"/>
      <c r="F32" s="7"/>
      <c r="G32" s="7"/>
      <c r="H32" s="7"/>
      <c r="I32" s="9"/>
      <c r="K32" s="29"/>
      <c r="L32" s="29"/>
      <c r="M32" s="29"/>
      <c r="N32" s="29"/>
      <c r="O32" s="29"/>
      <c r="P32" s="29"/>
      <c r="Q32" s="29"/>
    </row>
    <row r="33" spans="1:17" ht="13.5" thickBot="1">
      <c r="A33" s="6"/>
      <c r="B33" s="7" t="s">
        <v>6</v>
      </c>
      <c r="C33" s="7"/>
      <c r="D33" s="7"/>
      <c r="E33" s="7"/>
      <c r="F33" s="7"/>
      <c r="G33" s="7"/>
      <c r="H33" s="7"/>
      <c r="I33" s="54">
        <v>841</v>
      </c>
      <c r="K33" s="29"/>
      <c r="L33" s="29"/>
      <c r="M33" s="29"/>
      <c r="N33" s="29"/>
      <c r="O33" s="29"/>
      <c r="P33" s="29"/>
      <c r="Q33" s="29"/>
    </row>
    <row r="34" spans="1:17" ht="13.5" thickBot="1">
      <c r="A34" s="6"/>
      <c r="B34" s="10" t="s">
        <v>19</v>
      </c>
      <c r="C34" s="7"/>
      <c r="D34" s="7"/>
      <c r="E34" s="7"/>
      <c r="F34" s="7"/>
      <c r="G34" s="7"/>
      <c r="H34" s="7"/>
      <c r="I34" s="56">
        <v>0</v>
      </c>
      <c r="J34" s="5"/>
      <c r="K34" s="29"/>
      <c r="L34" s="29"/>
      <c r="M34" s="29"/>
      <c r="N34" s="29"/>
      <c r="O34" s="29"/>
      <c r="P34" s="29"/>
      <c r="Q34" s="29"/>
    </row>
    <row r="35" spans="1:17" ht="13.5" thickBot="1">
      <c r="A35" s="6"/>
      <c r="B35" s="10" t="s">
        <v>7</v>
      </c>
      <c r="C35" s="7"/>
      <c r="D35" s="7"/>
      <c r="E35" s="7"/>
      <c r="F35" s="7"/>
      <c r="G35" s="7"/>
      <c r="H35" s="7"/>
      <c r="I35" s="55">
        <f>I33+I34</f>
        <v>841</v>
      </c>
      <c r="J35" s="5"/>
      <c r="K35" s="29"/>
      <c r="L35" s="29"/>
      <c r="M35" s="29"/>
      <c r="N35" s="29"/>
      <c r="O35" s="29"/>
      <c r="P35" s="29"/>
      <c r="Q35" s="29"/>
    </row>
    <row r="36" spans="1:17" ht="13.5" thickBot="1">
      <c r="A36" s="6"/>
      <c r="B36" s="7" t="s">
        <v>12</v>
      </c>
      <c r="C36" s="42">
        <f>I35</f>
        <v>841</v>
      </c>
      <c r="D36" s="317" t="s">
        <v>11</v>
      </c>
      <c r="E36" s="318"/>
      <c r="F36" s="319"/>
      <c r="G36" s="42">
        <f>INDEX(FMRZIP_AMI!A3:F72,2,MATCH(E7,FMRZIP_AMI!B2:F2,0))</f>
        <v>1384</v>
      </c>
      <c r="I36" s="26"/>
      <c r="J36" s="5"/>
      <c r="K36" s="29"/>
      <c r="L36" s="29"/>
      <c r="M36" s="29"/>
      <c r="N36" s="29"/>
      <c r="O36" s="29"/>
      <c r="P36" s="29"/>
      <c r="Q36" s="29"/>
    </row>
    <row r="37" spans="1:17">
      <c r="A37" s="6"/>
      <c r="B37" s="27" t="s">
        <v>87</v>
      </c>
      <c r="C37" s="27"/>
      <c r="D37" s="27"/>
      <c r="E37" s="27"/>
      <c r="F37" s="27"/>
      <c r="G37" s="27"/>
      <c r="H37" s="7"/>
      <c r="I37" s="9"/>
      <c r="J37" s="5"/>
      <c r="K37" s="29"/>
      <c r="L37" s="29"/>
      <c r="M37" s="29"/>
      <c r="N37" s="29"/>
      <c r="O37" s="29"/>
      <c r="P37" s="29"/>
      <c r="Q37" s="29"/>
    </row>
    <row r="38" spans="1:17" ht="9.6" customHeight="1">
      <c r="A38" s="6"/>
      <c r="B38" s="7"/>
      <c r="C38" s="7"/>
      <c r="D38" s="7"/>
      <c r="E38" s="7"/>
      <c r="F38" s="7"/>
      <c r="G38" s="7"/>
      <c r="H38" s="7"/>
      <c r="I38" s="20"/>
      <c r="K38" s="29"/>
      <c r="L38" s="29"/>
      <c r="M38" s="29"/>
      <c r="N38" s="29"/>
      <c r="O38" s="29"/>
      <c r="P38" s="29"/>
      <c r="Q38" s="29"/>
    </row>
    <row r="39" spans="1:17" ht="13.5" thickBot="1">
      <c r="A39" s="22" t="s">
        <v>101</v>
      </c>
      <c r="B39" s="7"/>
      <c r="C39" s="7"/>
      <c r="D39" s="7"/>
      <c r="E39" s="7"/>
      <c r="F39" s="7"/>
      <c r="G39" s="7"/>
      <c r="H39" s="7"/>
      <c r="I39" s="9"/>
      <c r="K39" s="29"/>
      <c r="L39" s="29"/>
      <c r="M39" s="29"/>
      <c r="N39" s="29"/>
      <c r="O39" s="29"/>
      <c r="P39" s="29"/>
      <c r="Q39" s="29"/>
    </row>
    <row r="40" spans="1:17">
      <c r="A40" s="6"/>
      <c r="B40" s="7" t="s">
        <v>6</v>
      </c>
      <c r="C40" s="7"/>
      <c r="D40" s="7"/>
      <c r="E40" s="7"/>
      <c r="F40" s="7"/>
      <c r="G40" s="7"/>
      <c r="H40" s="7"/>
      <c r="I40" s="57">
        <f>I33</f>
        <v>841</v>
      </c>
      <c r="K40" s="29"/>
      <c r="L40" s="29"/>
      <c r="M40" s="29"/>
      <c r="N40" s="29"/>
      <c r="O40" s="29"/>
      <c r="P40" s="29"/>
      <c r="Q40" s="29"/>
    </row>
    <row r="41" spans="1:17">
      <c r="A41" s="6"/>
      <c r="B41" s="23" t="s">
        <v>54</v>
      </c>
      <c r="C41" s="7"/>
      <c r="D41" s="7"/>
      <c r="E41" s="7"/>
      <c r="F41" s="7"/>
      <c r="G41" s="7"/>
      <c r="H41" s="7"/>
      <c r="I41" s="58">
        <f>I30-I34</f>
        <v>318.40000000000003</v>
      </c>
      <c r="K41" s="29"/>
      <c r="L41" s="29"/>
      <c r="M41" s="29"/>
      <c r="N41" s="29"/>
      <c r="O41" s="29"/>
      <c r="P41" s="29"/>
      <c r="Q41" s="29"/>
    </row>
    <row r="42" spans="1:17" ht="13.5" thickBot="1">
      <c r="A42" s="6"/>
      <c r="B42" s="15" t="s">
        <v>0</v>
      </c>
      <c r="C42" s="7"/>
      <c r="D42" s="7"/>
      <c r="E42" s="7"/>
      <c r="F42" s="7"/>
      <c r="G42" s="7"/>
      <c r="H42" s="7"/>
      <c r="I42" s="53">
        <f>I40-I41</f>
        <v>522.59999999999991</v>
      </c>
      <c r="K42" s="29"/>
      <c r="L42" s="29"/>
      <c r="M42" s="29"/>
      <c r="N42" s="29"/>
      <c r="O42" s="29"/>
      <c r="P42" s="29"/>
      <c r="Q42" s="29"/>
    </row>
    <row r="43" spans="1:17">
      <c r="A43" s="6"/>
      <c r="B43" s="27"/>
      <c r="C43" s="27"/>
      <c r="D43" s="27"/>
      <c r="E43" s="27"/>
      <c r="F43" s="27"/>
      <c r="G43" s="27"/>
      <c r="H43" s="7"/>
      <c r="I43" s="9"/>
      <c r="J43" s="5"/>
      <c r="M43" s="4"/>
      <c r="N43" s="4"/>
    </row>
    <row r="44" spans="1:17">
      <c r="A44" s="28" t="s">
        <v>45</v>
      </c>
      <c r="B44" s="27"/>
      <c r="C44" s="27"/>
      <c r="D44" s="27"/>
      <c r="E44" s="27"/>
      <c r="F44" s="27"/>
      <c r="G44" s="27"/>
      <c r="H44" s="7"/>
      <c r="I44" s="9"/>
      <c r="J44" s="5"/>
      <c r="M44" s="4"/>
      <c r="N44" s="4"/>
    </row>
    <row r="45" spans="1:17" ht="5.0999999999999996" customHeight="1" thickBot="1">
      <c r="A45" s="28"/>
      <c r="B45" s="27"/>
      <c r="C45" s="27"/>
      <c r="D45" s="27"/>
      <c r="E45" s="27"/>
      <c r="F45" s="27"/>
      <c r="G45" s="27"/>
      <c r="H45" s="7"/>
      <c r="I45" s="9"/>
      <c r="J45" s="5"/>
      <c r="M45" s="4"/>
      <c r="N45" s="4"/>
    </row>
    <row r="46" spans="1:17" s="29" customFormat="1" ht="13.5" thickBot="1">
      <c r="A46" s="28"/>
      <c r="B46" s="15" t="s">
        <v>49</v>
      </c>
      <c r="C46" s="15"/>
      <c r="D46" s="15"/>
      <c r="E46" s="15"/>
      <c r="F46" s="15"/>
      <c r="G46" s="43" t="s">
        <v>47</v>
      </c>
      <c r="H46" s="15"/>
      <c r="I46" s="20"/>
    </row>
    <row r="47" spans="1:17" ht="4.5" customHeight="1" thickBot="1">
      <c r="A47" s="6"/>
      <c r="B47" s="27"/>
      <c r="C47" s="27"/>
      <c r="D47" s="27"/>
      <c r="E47" s="27"/>
      <c r="F47" s="27"/>
      <c r="G47" s="27"/>
      <c r="H47" s="7"/>
      <c r="I47" s="9"/>
      <c r="J47" s="5"/>
      <c r="M47" s="4"/>
      <c r="N47" s="4"/>
    </row>
    <row r="48" spans="1:17" ht="13.5" thickBot="1">
      <c r="A48" s="6"/>
      <c r="B48" s="15" t="s">
        <v>50</v>
      </c>
      <c r="C48" s="10"/>
      <c r="D48" s="10" t="s">
        <v>31</v>
      </c>
      <c r="E48" s="44" t="s">
        <v>36</v>
      </c>
      <c r="F48" s="10" t="s">
        <v>32</v>
      </c>
      <c r="G48" s="45">
        <v>23</v>
      </c>
      <c r="H48" s="61" t="s">
        <v>44</v>
      </c>
      <c r="I48" s="62">
        <f>1-((G48-1)/(VLOOKUP(E48,A66:B77,2,FALSE)))</f>
        <v>0.26666666666666672</v>
      </c>
      <c r="J48" s="5"/>
      <c r="M48" s="4"/>
      <c r="N48" s="4"/>
    </row>
    <row r="49" spans="1:14" ht="6.6" customHeight="1">
      <c r="A49" s="6"/>
      <c r="B49" s="27"/>
      <c r="C49" s="27"/>
      <c r="D49" s="27"/>
      <c r="E49" s="27"/>
      <c r="F49" s="27"/>
      <c r="G49" s="27"/>
      <c r="H49" s="7"/>
      <c r="I49" s="9"/>
      <c r="J49" s="5"/>
      <c r="M49" s="4"/>
      <c r="N49" s="4"/>
    </row>
    <row r="50" spans="1:14" ht="13.5" thickBot="1">
      <c r="A50" s="28" t="s">
        <v>30</v>
      </c>
      <c r="B50" s="15"/>
      <c r="C50" s="15"/>
      <c r="D50" s="15"/>
      <c r="E50" s="7"/>
      <c r="F50" s="7"/>
      <c r="G50" s="7"/>
      <c r="H50" s="7"/>
      <c r="I50" s="9"/>
      <c r="J50" s="5"/>
      <c r="M50" s="4"/>
      <c r="N50" s="4"/>
    </row>
    <row r="51" spans="1:14" ht="13.5" thickBot="1">
      <c r="A51" s="28"/>
      <c r="B51" s="15" t="s">
        <v>52</v>
      </c>
      <c r="C51" s="15"/>
      <c r="D51" s="15"/>
      <c r="E51" s="7"/>
      <c r="F51" s="7"/>
      <c r="G51" s="7"/>
      <c r="H51" s="7"/>
      <c r="I51" s="49">
        <f>(IF(G46="Yes",I48*I41,I41))</f>
        <v>84.906666666666695</v>
      </c>
      <c r="J51" s="5"/>
      <c r="M51" s="4"/>
      <c r="N51" s="4"/>
    </row>
    <row r="52" spans="1:14" ht="13.5" thickBot="1">
      <c r="A52" s="28"/>
      <c r="B52" s="15" t="s">
        <v>13</v>
      </c>
      <c r="C52" s="15"/>
      <c r="D52" s="15"/>
      <c r="E52" s="7"/>
      <c r="F52" s="7"/>
      <c r="G52" s="7"/>
      <c r="H52" s="7"/>
      <c r="I52" s="49">
        <f>(IF(G46="Yes",(I48)*I42,I42))</f>
        <v>139.36000000000001</v>
      </c>
      <c r="J52" s="5"/>
      <c r="K52" s="24"/>
      <c r="L52" s="24"/>
      <c r="M52" s="5"/>
      <c r="N52" s="25">
        <v>13</v>
      </c>
    </row>
    <row r="53" spans="1:14" ht="13.5" thickBot="1">
      <c r="A53" s="28"/>
      <c r="B53" s="15" t="s">
        <v>1</v>
      </c>
      <c r="C53" s="15"/>
      <c r="D53" s="15"/>
      <c r="E53" s="7"/>
      <c r="F53" s="7"/>
      <c r="G53" s="7"/>
      <c r="H53" s="7"/>
      <c r="I53" s="59"/>
      <c r="J53" s="5"/>
      <c r="K53" s="24"/>
      <c r="L53" s="24"/>
      <c r="M53" s="5"/>
      <c r="N53" s="25">
        <v>14</v>
      </c>
    </row>
    <row r="54" spans="1:14" ht="13.5" thickBot="1">
      <c r="A54" s="28"/>
      <c r="B54" s="15" t="s">
        <v>2</v>
      </c>
      <c r="C54" s="15"/>
      <c r="D54" s="15"/>
      <c r="E54" s="7"/>
      <c r="F54" s="7"/>
      <c r="G54" s="7"/>
      <c r="H54" s="7"/>
      <c r="I54" s="59"/>
      <c r="J54" s="5"/>
      <c r="K54" s="24"/>
      <c r="L54" s="24"/>
      <c r="M54" s="4"/>
      <c r="N54" s="4"/>
    </row>
    <row r="55" spans="1:14" ht="13.5" thickBot="1">
      <c r="A55" s="28"/>
      <c r="B55" s="15" t="s">
        <v>3</v>
      </c>
      <c r="C55" s="15"/>
      <c r="D55" s="15"/>
      <c r="E55" s="7"/>
      <c r="F55" s="7"/>
      <c r="G55" s="7"/>
      <c r="H55" s="7"/>
      <c r="I55" s="59"/>
      <c r="J55" s="5"/>
      <c r="M55" s="4"/>
      <c r="N55" s="4"/>
    </row>
    <row r="56" spans="1:14" ht="13.5" thickBot="1">
      <c r="A56" s="28"/>
      <c r="B56" s="15" t="s">
        <v>68</v>
      </c>
      <c r="C56" s="15"/>
      <c r="D56" s="320"/>
      <c r="E56" s="321"/>
      <c r="F56" s="321"/>
      <c r="G56" s="322"/>
      <c r="H56" s="7"/>
      <c r="I56" s="59"/>
      <c r="J56" s="5"/>
      <c r="M56" s="4"/>
      <c r="N56" s="4"/>
    </row>
    <row r="57" spans="1:14" ht="13.5" thickBot="1">
      <c r="A57" s="6"/>
      <c r="B57" s="15" t="s">
        <v>67</v>
      </c>
      <c r="C57" s="7"/>
      <c r="D57" s="7"/>
      <c r="E57" s="7"/>
      <c r="F57" s="7"/>
      <c r="G57" s="7"/>
      <c r="H57" s="7"/>
      <c r="I57" s="59"/>
      <c r="J57" s="5"/>
      <c r="M57" s="4"/>
      <c r="N57" s="4"/>
    </row>
    <row r="58" spans="1:14" ht="15.6" customHeight="1" thickBot="1">
      <c r="A58" s="6"/>
      <c r="B58" s="7"/>
      <c r="C58" s="7"/>
      <c r="D58" s="7"/>
      <c r="E58" s="7"/>
      <c r="F58" s="7"/>
      <c r="G58" s="7"/>
      <c r="H58" s="7"/>
      <c r="I58" s="60"/>
      <c r="J58" s="5"/>
      <c r="M58" s="4"/>
      <c r="N58" s="4"/>
    </row>
    <row r="59" spans="1:14" ht="10.5" customHeight="1" thickBot="1">
      <c r="A59" s="6"/>
      <c r="B59" s="7"/>
      <c r="C59" s="7"/>
      <c r="D59" s="7"/>
      <c r="E59" s="7"/>
      <c r="F59" s="7"/>
      <c r="G59" s="7"/>
      <c r="H59" s="7"/>
      <c r="I59" s="20"/>
      <c r="J59" s="5"/>
      <c r="M59" s="4"/>
      <c r="N59" s="4"/>
    </row>
    <row r="60" spans="1:14" ht="17.100000000000001" customHeight="1" thickBot="1">
      <c r="A60" s="46" t="s">
        <v>69</v>
      </c>
      <c r="B60" s="309"/>
      <c r="C60" s="310"/>
      <c r="D60" s="310"/>
      <c r="E60" s="310"/>
      <c r="F60" s="311"/>
      <c r="G60" s="47" t="s">
        <v>70</v>
      </c>
      <c r="H60" s="309"/>
      <c r="I60" s="311"/>
      <c r="J60" s="23"/>
      <c r="M60" s="4"/>
      <c r="N60" s="4"/>
    </row>
    <row r="61" spans="1:14">
      <c r="J61" s="5"/>
      <c r="M61" s="4"/>
      <c r="N61" s="4"/>
    </row>
    <row r="62" spans="1:14">
      <c r="A62" s="24" t="s">
        <v>47</v>
      </c>
      <c r="B62" s="24"/>
      <c r="M62" s="4"/>
      <c r="N62" s="4"/>
    </row>
    <row r="63" spans="1:14">
      <c r="A63" s="24" t="s">
        <v>48</v>
      </c>
      <c r="B63" s="24"/>
      <c r="M63" s="4"/>
      <c r="N63" s="4"/>
    </row>
    <row r="64" spans="1:14">
      <c r="A64" s="5"/>
      <c r="B64" s="5"/>
      <c r="M64" s="4"/>
      <c r="N64" s="4"/>
    </row>
    <row r="65" spans="1:14">
      <c r="A65" s="5"/>
      <c r="B65" s="5"/>
      <c r="M65" s="4"/>
      <c r="N65" s="4"/>
    </row>
    <row r="66" spans="1:14">
      <c r="A66" s="24" t="s">
        <v>33</v>
      </c>
      <c r="B66" s="24">
        <v>31</v>
      </c>
      <c r="M66" s="4"/>
      <c r="N66" s="4"/>
    </row>
    <row r="67" spans="1:14">
      <c r="A67" s="24" t="s">
        <v>34</v>
      </c>
      <c r="B67" s="24">
        <v>28</v>
      </c>
      <c r="M67" s="25"/>
      <c r="N67" s="25">
        <v>27</v>
      </c>
    </row>
    <row r="68" spans="1:14">
      <c r="A68" s="24" t="s">
        <v>35</v>
      </c>
      <c r="B68" s="24">
        <v>31</v>
      </c>
      <c r="M68" s="25"/>
      <c r="N68" s="25">
        <v>28</v>
      </c>
    </row>
    <row r="69" spans="1:14">
      <c r="A69" s="24" t="s">
        <v>36</v>
      </c>
      <c r="B69" s="24">
        <v>30</v>
      </c>
      <c r="M69" s="25"/>
      <c r="N69" s="25">
        <v>29</v>
      </c>
    </row>
    <row r="70" spans="1:14">
      <c r="A70" s="24" t="s">
        <v>37</v>
      </c>
      <c r="B70" s="24">
        <v>31</v>
      </c>
      <c r="M70" s="25"/>
      <c r="N70" s="25">
        <v>30</v>
      </c>
    </row>
    <row r="71" spans="1:14">
      <c r="A71" s="24" t="s">
        <v>38</v>
      </c>
      <c r="B71" s="24">
        <v>30</v>
      </c>
      <c r="M71" s="25"/>
      <c r="N71" s="25">
        <v>31</v>
      </c>
    </row>
    <row r="72" spans="1:14">
      <c r="A72" s="24" t="s">
        <v>39</v>
      </c>
      <c r="B72" s="24">
        <v>31</v>
      </c>
      <c r="K72" s="25"/>
      <c r="L72" s="25"/>
      <c r="M72" s="25"/>
      <c r="N72" s="25"/>
    </row>
    <row r="73" spans="1:14">
      <c r="A73" s="24" t="s">
        <v>40</v>
      </c>
      <c r="B73" s="24">
        <v>31</v>
      </c>
      <c r="K73" s="25"/>
      <c r="L73" s="25"/>
      <c r="M73" s="25"/>
      <c r="N73" s="25"/>
    </row>
    <row r="74" spans="1:14">
      <c r="A74" s="24" t="s">
        <v>41</v>
      </c>
      <c r="B74" s="24">
        <v>30</v>
      </c>
      <c r="K74" s="25"/>
      <c r="L74" s="25"/>
      <c r="M74" s="25"/>
      <c r="N74" s="25"/>
    </row>
    <row r="75" spans="1:14">
      <c r="A75" s="24" t="s">
        <v>42</v>
      </c>
      <c r="B75" s="24">
        <v>31</v>
      </c>
      <c r="K75" s="25"/>
      <c r="L75" s="25"/>
      <c r="M75" s="25"/>
      <c r="N75" s="25"/>
    </row>
    <row r="76" spans="1:14">
      <c r="A76" s="24" t="s">
        <v>55</v>
      </c>
      <c r="B76" s="24">
        <v>30</v>
      </c>
      <c r="K76" s="25"/>
      <c r="L76" s="25"/>
      <c r="M76" s="25"/>
      <c r="N76" s="25"/>
    </row>
    <row r="77" spans="1:14">
      <c r="A77" s="24" t="s">
        <v>43</v>
      </c>
      <c r="B77" s="24">
        <v>31</v>
      </c>
      <c r="K77" s="25"/>
      <c r="L77" s="25"/>
      <c r="M77" s="25"/>
      <c r="N77" s="25"/>
    </row>
  </sheetData>
  <mergeCells count="7">
    <mergeCell ref="B60:F60"/>
    <mergeCell ref="H60:I60"/>
    <mergeCell ref="A1:I1"/>
    <mergeCell ref="C3:F3"/>
    <mergeCell ref="K8:L8"/>
    <mergeCell ref="D36:F36"/>
    <mergeCell ref="D56:G56"/>
  </mergeCells>
  <dataValidations count="3">
    <dataValidation type="list" allowBlank="1" showInputMessage="1" showErrorMessage="1" sqref="G48">
      <formula1>$N$52:$N$71</formula1>
    </dataValidation>
    <dataValidation type="list" allowBlank="1" showInputMessage="1" showErrorMessage="1" sqref="G46">
      <formula1>$A$62:$A$63</formula1>
    </dataValidation>
    <dataValidation type="list" allowBlank="1" showInputMessage="1" showErrorMessage="1" sqref="E48">
      <formula1>$A$66:$A$77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
  <sheetViews>
    <sheetView workbookViewId="0">
      <selection activeCell="I1" sqref="I1:N1"/>
    </sheetView>
  </sheetViews>
  <sheetFormatPr defaultRowHeight="12.75"/>
  <cols>
    <col min="1" max="1" width="30.28515625" bestFit="1" customWidth="1"/>
    <col min="2" max="2" width="66.42578125" bestFit="1" customWidth="1"/>
  </cols>
  <sheetData>
    <row r="1" spans="1:2">
      <c r="A1" s="84" t="s">
        <v>121</v>
      </c>
      <c r="B1" s="84" t="s">
        <v>122</v>
      </c>
    </row>
    <row r="2" spans="1:2">
      <c r="A2" t="s">
        <v>120</v>
      </c>
      <c r="B2" t="s">
        <v>119</v>
      </c>
    </row>
    <row r="3" spans="1:2">
      <c r="A3" s="3" t="s">
        <v>125</v>
      </c>
      <c r="B3" s="3" t="s">
        <v>123</v>
      </c>
    </row>
    <row r="4" spans="1:2">
      <c r="A4" s="3" t="s">
        <v>126</v>
      </c>
      <c r="B4" s="3" t="s">
        <v>124</v>
      </c>
    </row>
    <row r="5" spans="1:2">
      <c r="A5" s="85" t="s">
        <v>128</v>
      </c>
      <c r="B5" s="85" t="s">
        <v>127</v>
      </c>
    </row>
  </sheetData>
  <sheetProtection password="DBA5"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6"/>
  <sheetViews>
    <sheetView workbookViewId="0">
      <selection activeCell="I1" sqref="I1:N1"/>
    </sheetView>
  </sheetViews>
  <sheetFormatPr defaultRowHeight="12.75"/>
  <sheetData>
    <row r="1" spans="1:1">
      <c r="A1" s="3" t="s">
        <v>78</v>
      </c>
    </row>
    <row r="2" spans="1:1">
      <c r="A2" s="63" t="s">
        <v>77</v>
      </c>
    </row>
    <row r="5" spans="1:1">
      <c r="A5" s="3" t="s">
        <v>79</v>
      </c>
    </row>
    <row r="6" spans="1:1">
      <c r="A6" s="63" t="s">
        <v>80</v>
      </c>
    </row>
  </sheetData>
  <hyperlinks>
    <hyperlink ref="A2" r:id="rId1"/>
    <hyperlink ref="A6"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6"/>
  <sheetViews>
    <sheetView workbookViewId="0">
      <selection activeCell="B18" sqref="B18"/>
    </sheetView>
  </sheetViews>
  <sheetFormatPr defaultRowHeight="12.75"/>
  <cols>
    <col min="1" max="1" width="33.28515625" customWidth="1"/>
    <col min="2" max="2" width="15.7109375" customWidth="1"/>
    <col min="3" max="3" width="15.140625" customWidth="1"/>
    <col min="4" max="4" width="15.7109375" customWidth="1"/>
    <col min="5" max="5" width="16.85546875" customWidth="1"/>
    <col min="8" max="8" width="12.28515625" bestFit="1" customWidth="1"/>
  </cols>
  <sheetData>
    <row r="1" spans="1:8">
      <c r="A1" s="433" t="s">
        <v>212</v>
      </c>
      <c r="B1" s="434"/>
      <c r="C1" s="434"/>
      <c r="D1" s="434"/>
      <c r="E1" s="435"/>
    </row>
    <row r="2" spans="1:8" ht="13.5" thickBot="1">
      <c r="A2" s="436"/>
      <c r="B2" s="437"/>
      <c r="C2" s="437"/>
      <c r="D2" s="437"/>
      <c r="E2" s="438"/>
    </row>
    <row r="3" spans="1:8" ht="17.25" customHeight="1">
      <c r="A3" s="181"/>
      <c r="B3" s="182" t="s">
        <v>213</v>
      </c>
      <c r="C3" s="182" t="s">
        <v>214</v>
      </c>
      <c r="D3" s="182" t="s">
        <v>215</v>
      </c>
      <c r="E3" s="183" t="s">
        <v>216</v>
      </c>
    </row>
    <row r="4" spans="1:8" ht="19.5" customHeight="1">
      <c r="A4" s="184" t="s">
        <v>221</v>
      </c>
      <c r="B4" s="206"/>
      <c r="C4" s="201"/>
      <c r="D4" s="201"/>
      <c r="E4" s="202"/>
    </row>
    <row r="5" spans="1:8" ht="19.5" customHeight="1">
      <c r="A5" s="184" t="s">
        <v>222</v>
      </c>
      <c r="B5" s="203"/>
      <c r="C5" s="204"/>
      <c r="D5" s="204"/>
      <c r="E5" s="205"/>
    </row>
    <row r="6" spans="1:8" ht="19.5" customHeight="1">
      <c r="A6" s="184" t="s">
        <v>223</v>
      </c>
      <c r="B6" s="203"/>
      <c r="C6" s="204"/>
      <c r="D6" s="204"/>
      <c r="E6" s="205"/>
    </row>
    <row r="7" spans="1:8" ht="19.5" customHeight="1">
      <c r="A7" s="184" t="s">
        <v>224</v>
      </c>
      <c r="B7" s="206"/>
      <c r="C7" s="201"/>
      <c r="D7" s="201"/>
      <c r="E7" s="202"/>
    </row>
    <row r="8" spans="1:8" ht="19.5" customHeight="1">
      <c r="A8" s="184" t="s">
        <v>225</v>
      </c>
      <c r="B8" s="206"/>
      <c r="C8" s="201"/>
      <c r="D8" s="201"/>
      <c r="E8" s="202"/>
      <c r="H8" s="83"/>
    </row>
    <row r="9" spans="1:8" ht="19.5" customHeight="1">
      <c r="A9" s="184" t="s">
        <v>226</v>
      </c>
      <c r="B9" s="206"/>
      <c r="C9" s="201"/>
      <c r="D9" s="201"/>
      <c r="E9" s="202"/>
      <c r="H9" s="187"/>
    </row>
    <row r="10" spans="1:8" ht="19.5" customHeight="1">
      <c r="A10" s="189" t="s">
        <v>234</v>
      </c>
      <c r="B10" s="201"/>
      <c r="C10" s="201"/>
      <c r="D10" s="201"/>
      <c r="E10" s="202"/>
      <c r="H10" s="187"/>
    </row>
    <row r="11" spans="1:8" ht="19.5" customHeight="1">
      <c r="A11" s="190" t="s">
        <v>235</v>
      </c>
      <c r="B11" s="201"/>
      <c r="C11" s="201"/>
      <c r="D11" s="201"/>
      <c r="E11" s="202"/>
      <c r="H11" s="187"/>
    </row>
    <row r="12" spans="1:8" ht="19.5" customHeight="1">
      <c r="A12" s="190" t="s">
        <v>237</v>
      </c>
      <c r="B12" s="201"/>
      <c r="C12" s="201"/>
      <c r="D12" s="201"/>
      <c r="E12" s="202"/>
      <c r="H12" s="187"/>
    </row>
    <row r="13" spans="1:8" ht="19.5" customHeight="1">
      <c r="A13" s="191" t="s">
        <v>236</v>
      </c>
      <c r="B13" s="207"/>
      <c r="C13" s="207"/>
      <c r="D13" s="207"/>
      <c r="E13" s="202"/>
      <c r="H13" s="188"/>
    </row>
    <row r="14" spans="1:8" ht="19.5" customHeight="1">
      <c r="A14" s="184" t="s">
        <v>227</v>
      </c>
      <c r="B14" s="203"/>
      <c r="C14" s="204"/>
      <c r="D14" s="204"/>
      <c r="E14" s="202"/>
      <c r="H14" s="187"/>
    </row>
    <row r="15" spans="1:8" ht="19.5" customHeight="1">
      <c r="A15" s="184" t="s">
        <v>232</v>
      </c>
      <c r="B15" s="208"/>
      <c r="C15" s="209"/>
      <c r="D15" s="209"/>
      <c r="E15" s="202"/>
    </row>
    <row r="16" spans="1:8" ht="19.5" customHeight="1">
      <c r="A16" s="184" t="s">
        <v>239</v>
      </c>
      <c r="B16" s="208"/>
      <c r="C16" s="209"/>
      <c r="D16" s="209"/>
      <c r="E16" s="202"/>
    </row>
    <row r="17" spans="1:7" ht="19.5" customHeight="1" thickBot="1">
      <c r="A17" s="196" t="s">
        <v>238</v>
      </c>
      <c r="B17" s="210"/>
      <c r="C17" s="211"/>
      <c r="D17" s="211"/>
      <c r="E17" s="212"/>
      <c r="F17" s="186"/>
    </row>
    <row r="18" spans="1:7" ht="19.5" customHeight="1" thickTop="1" thickBot="1">
      <c r="A18" s="200" t="s">
        <v>240</v>
      </c>
      <c r="B18" s="197"/>
      <c r="C18" s="198"/>
      <c r="D18" s="198"/>
      <c r="E18" s="199"/>
      <c r="F18" s="186"/>
    </row>
    <row r="19" spans="1:7" ht="19.5" customHeight="1" thickTop="1">
      <c r="A19" s="192" t="s">
        <v>228</v>
      </c>
      <c r="B19" s="193" t="s">
        <v>187</v>
      </c>
      <c r="C19" s="193" t="s">
        <v>187</v>
      </c>
      <c r="D19" s="194" t="s">
        <v>187</v>
      </c>
      <c r="E19" s="195" t="s">
        <v>187</v>
      </c>
    </row>
    <row r="20" spans="1:7" ht="37.5" customHeight="1" thickBot="1">
      <c r="A20" s="215" t="s">
        <v>229</v>
      </c>
      <c r="B20" s="216" t="s">
        <v>230</v>
      </c>
      <c r="C20" s="217" t="s">
        <v>231</v>
      </c>
      <c r="D20" s="443"/>
      <c r="E20" s="444"/>
    </row>
    <row r="21" spans="1:7" ht="6" customHeight="1">
      <c r="A21" s="219"/>
      <c r="B21" s="219"/>
      <c r="C21" s="219"/>
      <c r="D21" s="219"/>
      <c r="E21" s="219"/>
    </row>
    <row r="22" spans="1:7">
      <c r="A22" s="218" t="s">
        <v>247</v>
      </c>
      <c r="B22" s="218"/>
      <c r="C22" s="218"/>
      <c r="D22" s="218"/>
      <c r="E22" s="218"/>
    </row>
    <row r="23" spans="1:7" ht="6" customHeight="1">
      <c r="A23" s="214"/>
      <c r="B23" s="214"/>
      <c r="C23" s="214"/>
      <c r="D23" s="214"/>
      <c r="E23" s="214"/>
    </row>
    <row r="24" spans="1:7" ht="24.75" customHeight="1">
      <c r="A24" s="439" t="s">
        <v>217</v>
      </c>
      <c r="B24" s="439"/>
      <c r="C24" s="439"/>
      <c r="D24" s="439"/>
      <c r="E24" s="439"/>
    </row>
    <row r="25" spans="1:7" ht="30.75" customHeight="1">
      <c r="A25" s="423" t="s">
        <v>233</v>
      </c>
      <c r="B25" s="423"/>
      <c r="C25" s="423"/>
      <c r="D25" s="423"/>
      <c r="E25" s="423"/>
    </row>
    <row r="26" spans="1:7">
      <c r="A26" s="221"/>
      <c r="B26" s="222"/>
      <c r="C26" s="222"/>
      <c r="D26" s="222"/>
      <c r="E26" s="223"/>
    </row>
    <row r="27" spans="1:7" ht="12.75" customHeight="1">
      <c r="A27" s="220">
        <v>1000</v>
      </c>
      <c r="B27" s="446">
        <v>200</v>
      </c>
      <c r="C27" s="446"/>
      <c r="D27" s="447" t="s">
        <v>243</v>
      </c>
      <c r="E27" s="447"/>
      <c r="G27" s="185"/>
    </row>
    <row r="28" spans="1:7" ht="20.25" customHeight="1">
      <c r="A28" s="228" t="s">
        <v>246</v>
      </c>
      <c r="B28" s="445" t="s">
        <v>242</v>
      </c>
      <c r="C28" s="445"/>
      <c r="D28" s="448" t="s">
        <v>241</v>
      </c>
      <c r="E28" s="448"/>
      <c r="G28" s="186"/>
    </row>
    <row r="29" spans="1:7" ht="15.75" customHeight="1">
      <c r="A29" s="224"/>
      <c r="B29" s="225"/>
      <c r="C29" s="225"/>
      <c r="D29" s="225"/>
      <c r="E29" s="226"/>
      <c r="G29" s="186"/>
    </row>
    <row r="30" spans="1:7">
      <c r="A30" s="451" t="s">
        <v>244</v>
      </c>
      <c r="B30" s="452"/>
      <c r="C30" s="452"/>
      <c r="D30" s="449">
        <v>0</v>
      </c>
      <c r="E30" s="450"/>
    </row>
    <row r="31" spans="1:7">
      <c r="A31" s="213"/>
      <c r="B31" s="213"/>
      <c r="C31" s="213"/>
      <c r="D31" s="229"/>
      <c r="E31" s="230"/>
    </row>
    <row r="32" spans="1:7">
      <c r="A32" s="427" t="s">
        <v>218</v>
      </c>
      <c r="B32" s="428"/>
      <c r="C32" s="428"/>
      <c r="D32" s="428"/>
      <c r="E32" s="429"/>
    </row>
    <row r="33" spans="1:5">
      <c r="A33" s="430"/>
      <c r="B33" s="431"/>
      <c r="C33" s="431"/>
      <c r="D33" s="431"/>
      <c r="E33" s="432"/>
    </row>
    <row r="34" spans="1:5" ht="27.75" customHeight="1">
      <c r="A34" s="424" t="s">
        <v>248</v>
      </c>
      <c r="B34" s="425"/>
      <c r="C34" s="425"/>
      <c r="D34" s="425"/>
      <c r="E34" s="426"/>
    </row>
    <row r="35" spans="1:5">
      <c r="A35" s="440"/>
      <c r="B35" s="441"/>
      <c r="C35" s="441"/>
      <c r="D35" s="441"/>
      <c r="E35" s="442"/>
    </row>
    <row r="36" spans="1:5">
      <c r="A36" s="227" t="s">
        <v>245</v>
      </c>
      <c r="B36" s="421" t="s">
        <v>219</v>
      </c>
      <c r="C36" s="421"/>
      <c r="D36" s="421" t="s">
        <v>220</v>
      </c>
      <c r="E36" s="422"/>
    </row>
  </sheetData>
  <mergeCells count="15">
    <mergeCell ref="A1:E2"/>
    <mergeCell ref="A24:E24"/>
    <mergeCell ref="A35:E35"/>
    <mergeCell ref="D20:E20"/>
    <mergeCell ref="B28:C28"/>
    <mergeCell ref="B27:C27"/>
    <mergeCell ref="D27:E27"/>
    <mergeCell ref="D28:E28"/>
    <mergeCell ref="D30:E30"/>
    <mergeCell ref="A30:C30"/>
    <mergeCell ref="B36:C36"/>
    <mergeCell ref="D36:E36"/>
    <mergeCell ref="A25:E25"/>
    <mergeCell ref="A34:E34"/>
    <mergeCell ref="A32:E33"/>
  </mergeCells>
  <dataValidations count="1">
    <dataValidation type="list" allowBlank="1" showInputMessage="1" showErrorMessage="1" sqref="B19:E19">
      <formula1>"Choose One,Yes, No"</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8440" r:id="rId4" name="CheckBox2">
          <controlPr defaultSize="0" autoLine="0" autoPict="0" r:id="rId5">
            <anchor moveWithCells="1">
              <from>
                <xdr:col>0</xdr:col>
                <xdr:colOff>1085850</xdr:colOff>
                <xdr:row>33</xdr:row>
                <xdr:rowOff>200025</xdr:rowOff>
              </from>
              <to>
                <xdr:col>0</xdr:col>
                <xdr:colOff>1257300</xdr:colOff>
                <xdr:row>33</xdr:row>
                <xdr:rowOff>314325</xdr:rowOff>
              </to>
            </anchor>
          </controlPr>
        </control>
      </mc:Choice>
      <mc:Fallback>
        <control shapeId="18440" r:id="rId4" name="CheckBox2"/>
      </mc:Fallback>
    </mc:AlternateContent>
    <mc:AlternateContent xmlns:mc="http://schemas.openxmlformats.org/markup-compatibility/2006">
      <mc:Choice Requires="x14">
        <control shapeId="18439" r:id="rId6" name="CheckBox1">
          <controlPr defaultSize="0" autoLine="0" autoPict="0" r:id="rId7">
            <anchor moveWithCells="1">
              <from>
                <xdr:col>0</xdr:col>
                <xdr:colOff>247650</xdr:colOff>
                <xdr:row>33</xdr:row>
                <xdr:rowOff>180975</xdr:rowOff>
              </from>
              <to>
                <xdr:col>0</xdr:col>
                <xdr:colOff>428625</xdr:colOff>
                <xdr:row>33</xdr:row>
                <xdr:rowOff>333375</xdr:rowOff>
              </to>
            </anchor>
          </controlPr>
        </control>
      </mc:Choice>
      <mc:Fallback>
        <control shapeId="18439" r:id="rId6" name="CheckBox1"/>
      </mc:Fallback>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workbookViewId="0">
      <selection activeCell="C9" sqref="C9"/>
    </sheetView>
  </sheetViews>
  <sheetFormatPr defaultRowHeight="12.75"/>
  <sheetData>
    <row r="1" spans="1:14">
      <c r="A1" s="2" t="s">
        <v>98</v>
      </c>
      <c r="B1" s="2" t="s">
        <v>99</v>
      </c>
      <c r="C1" s="2" t="s">
        <v>100</v>
      </c>
      <c r="I1" t="s">
        <v>33</v>
      </c>
      <c r="K1" t="s">
        <v>34</v>
      </c>
      <c r="L1">
        <v>1</v>
      </c>
      <c r="M1" t="s">
        <v>36</v>
      </c>
    </row>
    <row r="2" spans="1:14">
      <c r="A2">
        <v>1</v>
      </c>
      <c r="B2">
        <v>0</v>
      </c>
      <c r="C2">
        <v>1</v>
      </c>
      <c r="I2" t="s">
        <v>35</v>
      </c>
      <c r="J2">
        <v>1</v>
      </c>
      <c r="L2">
        <v>2</v>
      </c>
      <c r="M2" t="s">
        <v>38</v>
      </c>
      <c r="N2">
        <v>1</v>
      </c>
    </row>
    <row r="3" spans="1:14">
      <c r="A3">
        <v>2</v>
      </c>
      <c r="B3">
        <v>0</v>
      </c>
      <c r="C3">
        <v>1</v>
      </c>
      <c r="I3" t="s">
        <v>37</v>
      </c>
      <c r="J3">
        <v>2</v>
      </c>
      <c r="L3">
        <v>3</v>
      </c>
      <c r="M3" t="s">
        <v>41</v>
      </c>
      <c r="N3">
        <v>2</v>
      </c>
    </row>
    <row r="4" spans="1:14">
      <c r="A4">
        <v>3</v>
      </c>
      <c r="B4">
        <v>1</v>
      </c>
      <c r="C4">
        <v>3</v>
      </c>
      <c r="I4" t="s">
        <v>39</v>
      </c>
      <c r="J4">
        <v>3</v>
      </c>
      <c r="L4">
        <v>4</v>
      </c>
      <c r="M4" t="s">
        <v>55</v>
      </c>
      <c r="N4">
        <v>3</v>
      </c>
    </row>
    <row r="5" spans="1:14">
      <c r="A5">
        <v>4</v>
      </c>
      <c r="B5">
        <v>2</v>
      </c>
      <c r="C5">
        <v>4</v>
      </c>
      <c r="I5" t="s">
        <v>40</v>
      </c>
      <c r="J5">
        <v>4</v>
      </c>
      <c r="L5">
        <v>5</v>
      </c>
      <c r="N5">
        <v>4</v>
      </c>
    </row>
    <row r="6" spans="1:14">
      <c r="A6">
        <v>5</v>
      </c>
      <c r="B6">
        <v>2</v>
      </c>
      <c r="C6">
        <v>4</v>
      </c>
      <c r="I6" t="s">
        <v>42</v>
      </c>
      <c r="J6">
        <v>5</v>
      </c>
      <c r="L6">
        <v>6</v>
      </c>
      <c r="N6">
        <v>5</v>
      </c>
    </row>
    <row r="7" spans="1:14">
      <c r="A7">
        <v>6</v>
      </c>
      <c r="B7">
        <v>3</v>
      </c>
      <c r="C7">
        <v>4</v>
      </c>
      <c r="I7" t="s">
        <v>43</v>
      </c>
      <c r="J7">
        <v>6</v>
      </c>
      <c r="L7">
        <v>7</v>
      </c>
      <c r="N7">
        <v>6</v>
      </c>
    </row>
    <row r="8" spans="1:14">
      <c r="A8">
        <v>7</v>
      </c>
      <c r="B8">
        <v>3</v>
      </c>
      <c r="C8">
        <v>4</v>
      </c>
      <c r="J8">
        <v>7</v>
      </c>
      <c r="L8">
        <v>8</v>
      </c>
      <c r="N8">
        <v>7</v>
      </c>
    </row>
    <row r="9" spans="1:14">
      <c r="A9">
        <v>8</v>
      </c>
      <c r="B9">
        <v>4</v>
      </c>
      <c r="C9">
        <v>6</v>
      </c>
      <c r="J9">
        <v>8</v>
      </c>
      <c r="L9">
        <v>9</v>
      </c>
      <c r="N9">
        <v>8</v>
      </c>
    </row>
    <row r="10" spans="1:14">
      <c r="A10">
        <v>9</v>
      </c>
      <c r="B10">
        <v>4</v>
      </c>
      <c r="C10">
        <v>6</v>
      </c>
      <c r="J10">
        <v>9</v>
      </c>
      <c r="L10">
        <v>10</v>
      </c>
      <c r="N10">
        <v>9</v>
      </c>
    </row>
    <row r="11" spans="1:14">
      <c r="J11">
        <v>10</v>
      </c>
      <c r="L11">
        <v>11</v>
      </c>
      <c r="N11">
        <v>10</v>
      </c>
    </row>
    <row r="12" spans="1:14">
      <c r="J12">
        <v>11</v>
      </c>
      <c r="L12">
        <v>12</v>
      </c>
      <c r="N12">
        <v>11</v>
      </c>
    </row>
    <row r="13" spans="1:14">
      <c r="J13">
        <v>12</v>
      </c>
      <c r="L13">
        <v>13</v>
      </c>
      <c r="N13">
        <v>12</v>
      </c>
    </row>
    <row r="14" spans="1:14">
      <c r="J14">
        <v>13</v>
      </c>
      <c r="L14">
        <v>14</v>
      </c>
      <c r="N14">
        <v>13</v>
      </c>
    </row>
    <row r="15" spans="1:14">
      <c r="J15">
        <v>14</v>
      </c>
      <c r="L15">
        <v>15</v>
      </c>
      <c r="N15">
        <v>14</v>
      </c>
    </row>
    <row r="16" spans="1:14">
      <c r="J16">
        <v>15</v>
      </c>
      <c r="L16">
        <v>16</v>
      </c>
      <c r="N16">
        <v>15</v>
      </c>
    </row>
    <row r="17" spans="10:14">
      <c r="J17">
        <v>16</v>
      </c>
      <c r="L17">
        <v>17</v>
      </c>
      <c r="N17">
        <v>16</v>
      </c>
    </row>
    <row r="18" spans="10:14">
      <c r="J18">
        <v>17</v>
      </c>
      <c r="L18">
        <v>18</v>
      </c>
      <c r="N18">
        <v>17</v>
      </c>
    </row>
    <row r="19" spans="10:14">
      <c r="J19">
        <v>18</v>
      </c>
      <c r="L19">
        <v>19</v>
      </c>
      <c r="N19">
        <v>18</v>
      </c>
    </row>
    <row r="20" spans="10:14">
      <c r="J20">
        <v>19</v>
      </c>
      <c r="L20">
        <v>20</v>
      </c>
      <c r="N20">
        <v>19</v>
      </c>
    </row>
    <row r="21" spans="10:14">
      <c r="J21">
        <v>20</v>
      </c>
      <c r="L21">
        <v>21</v>
      </c>
      <c r="N21">
        <v>20</v>
      </c>
    </row>
    <row r="22" spans="10:14">
      <c r="J22">
        <v>21</v>
      </c>
      <c r="L22">
        <v>22</v>
      </c>
      <c r="N22">
        <v>21</v>
      </c>
    </row>
    <row r="23" spans="10:14">
      <c r="J23">
        <v>22</v>
      </c>
      <c r="L23">
        <v>23</v>
      </c>
      <c r="N23">
        <v>22</v>
      </c>
    </row>
    <row r="24" spans="10:14">
      <c r="J24">
        <v>23</v>
      </c>
      <c r="L24">
        <v>24</v>
      </c>
      <c r="N24">
        <v>23</v>
      </c>
    </row>
    <row r="25" spans="10:14">
      <c r="J25">
        <v>24</v>
      </c>
      <c r="L25">
        <v>25</v>
      </c>
      <c r="N25">
        <v>24</v>
      </c>
    </row>
    <row r="26" spans="10:14">
      <c r="J26">
        <v>25</v>
      </c>
      <c r="L26">
        <v>26</v>
      </c>
      <c r="N26">
        <v>25</v>
      </c>
    </row>
    <row r="27" spans="10:14">
      <c r="J27">
        <v>26</v>
      </c>
      <c r="L27">
        <v>27</v>
      </c>
      <c r="N27">
        <v>26</v>
      </c>
    </row>
    <row r="28" spans="10:14">
      <c r="J28">
        <v>27</v>
      </c>
      <c r="L28">
        <v>28</v>
      </c>
      <c r="N28">
        <v>27</v>
      </c>
    </row>
    <row r="29" spans="10:14">
      <c r="J29">
        <v>28</v>
      </c>
      <c r="N29">
        <v>28</v>
      </c>
    </row>
    <row r="30" spans="10:14">
      <c r="J30">
        <v>29</v>
      </c>
      <c r="N30">
        <v>29</v>
      </c>
    </row>
    <row r="31" spans="10:14">
      <c r="J31">
        <v>30</v>
      </c>
      <c r="N31">
        <v>30</v>
      </c>
    </row>
    <row r="32" spans="10:14">
      <c r="J32">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1"/>
  <sheetViews>
    <sheetView workbookViewId="0">
      <selection activeCell="N39" sqref="N39"/>
    </sheetView>
  </sheetViews>
  <sheetFormatPr defaultRowHeight="12.75"/>
  <cols>
    <col min="1" max="1" width="39.5703125" customWidth="1"/>
  </cols>
  <sheetData>
    <row r="1" spans="1:9">
      <c r="A1" s="3" t="s">
        <v>25</v>
      </c>
      <c r="B1" s="3" t="s">
        <v>96</v>
      </c>
      <c r="C1" s="3" t="s">
        <v>97</v>
      </c>
    </row>
    <row r="2" spans="1:9" ht="15">
      <c r="A2" s="69">
        <v>0</v>
      </c>
      <c r="B2" s="69">
        <v>1</v>
      </c>
      <c r="C2" s="74">
        <v>2</v>
      </c>
      <c r="H2" s="69" t="s">
        <v>89</v>
      </c>
      <c r="I2" s="69" t="s">
        <v>90</v>
      </c>
    </row>
    <row r="3" spans="1:9" ht="15">
      <c r="A3" s="70">
        <v>1</v>
      </c>
      <c r="B3" s="70">
        <v>1</v>
      </c>
      <c r="C3" s="75">
        <v>3</v>
      </c>
      <c r="H3" s="70" t="s">
        <v>89</v>
      </c>
      <c r="I3" s="71" t="s">
        <v>91</v>
      </c>
    </row>
    <row r="4" spans="1:9" ht="15">
      <c r="A4" s="70">
        <v>2</v>
      </c>
      <c r="B4" s="70">
        <v>2</v>
      </c>
      <c r="C4" s="75">
        <v>5</v>
      </c>
      <c r="H4" s="70" t="s">
        <v>90</v>
      </c>
      <c r="I4" s="71" t="s">
        <v>92</v>
      </c>
    </row>
    <row r="5" spans="1:9" ht="15">
      <c r="A5" s="70">
        <v>3</v>
      </c>
      <c r="B5" s="70">
        <v>3</v>
      </c>
      <c r="C5" s="75">
        <v>7</v>
      </c>
      <c r="H5" s="70" t="s">
        <v>91</v>
      </c>
      <c r="I5" s="71" t="s">
        <v>93</v>
      </c>
    </row>
    <row r="6" spans="1:9" ht="15">
      <c r="A6" s="72">
        <v>4</v>
      </c>
      <c r="B6" s="72">
        <v>4</v>
      </c>
      <c r="C6" s="76">
        <v>9</v>
      </c>
      <c r="H6" s="72" t="s">
        <v>94</v>
      </c>
      <c r="I6" s="73" t="s">
        <v>95</v>
      </c>
    </row>
    <row r="12" spans="1:9">
      <c r="A12" s="3" t="s">
        <v>98</v>
      </c>
      <c r="B12" s="3" t="s">
        <v>99</v>
      </c>
      <c r="C12" s="3" t="s">
        <v>100</v>
      </c>
    </row>
    <row r="13" spans="1:9">
      <c r="A13">
        <v>1</v>
      </c>
      <c r="B13">
        <v>0</v>
      </c>
      <c r="C13">
        <v>1</v>
      </c>
    </row>
    <row r="14" spans="1:9">
      <c r="A14">
        <v>2</v>
      </c>
      <c r="B14">
        <v>0</v>
      </c>
      <c r="C14">
        <v>1</v>
      </c>
    </row>
    <row r="15" spans="1:9">
      <c r="A15">
        <v>3</v>
      </c>
      <c r="B15">
        <v>1</v>
      </c>
      <c r="C15">
        <v>3</v>
      </c>
    </row>
    <row r="16" spans="1:9">
      <c r="A16">
        <v>4</v>
      </c>
      <c r="B16">
        <v>2</v>
      </c>
      <c r="C16">
        <v>4</v>
      </c>
    </row>
    <row r="17" spans="1:3">
      <c r="A17">
        <v>5</v>
      </c>
      <c r="B17">
        <v>2</v>
      </c>
      <c r="C17">
        <v>4</v>
      </c>
    </row>
    <row r="18" spans="1:3">
      <c r="A18">
        <v>6</v>
      </c>
      <c r="B18">
        <v>3</v>
      </c>
      <c r="C18">
        <v>4</v>
      </c>
    </row>
    <row r="19" spans="1:3">
      <c r="A19">
        <v>7</v>
      </c>
      <c r="B19">
        <v>3</v>
      </c>
      <c r="C19">
        <v>4</v>
      </c>
    </row>
    <row r="20" spans="1:3">
      <c r="A20">
        <v>8</v>
      </c>
      <c r="B20">
        <v>4</v>
      </c>
      <c r="C20">
        <v>4</v>
      </c>
    </row>
    <row r="21" spans="1:3">
      <c r="A21">
        <v>9</v>
      </c>
      <c r="B21">
        <v>4</v>
      </c>
      <c r="C21">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7"/>
  <sheetViews>
    <sheetView topLeftCell="A22" zoomScaleNormal="100" workbookViewId="0">
      <selection sqref="A1:I1"/>
    </sheetView>
  </sheetViews>
  <sheetFormatPr defaultColWidth="9.140625" defaultRowHeight="12.75"/>
  <cols>
    <col min="1" max="1" width="12.140625" style="4" customWidth="1"/>
    <col min="2" max="2" width="15.140625" style="4" customWidth="1"/>
    <col min="3" max="3" width="11.28515625" style="4" customWidth="1"/>
    <col min="4" max="5" width="9.140625" style="4"/>
    <col min="6" max="6" width="10.5703125" style="4" customWidth="1"/>
    <col min="7" max="8" width="9.140625" style="4"/>
    <col min="9" max="9" width="10.7109375" style="30" customWidth="1"/>
    <col min="10" max="10" width="9.140625" style="4"/>
    <col min="11" max="11" width="13.85546875" style="4" customWidth="1"/>
    <col min="12" max="12" width="19.140625" style="4" customWidth="1"/>
    <col min="13" max="14" width="9.140625" style="31"/>
    <col min="15" max="16384" width="9.140625" style="4"/>
  </cols>
  <sheetData>
    <row r="1" spans="1:14" ht="23.25" customHeight="1" thickBot="1">
      <c r="A1" s="312" t="s">
        <v>61</v>
      </c>
      <c r="B1" s="313"/>
      <c r="C1" s="313"/>
      <c r="D1" s="313"/>
      <c r="E1" s="313"/>
      <c r="F1" s="313"/>
      <c r="G1" s="313"/>
      <c r="H1" s="313"/>
      <c r="I1" s="314"/>
      <c r="M1" s="5"/>
      <c r="N1" s="5"/>
    </row>
    <row r="2" spans="1:14" ht="13.5" thickBot="1">
      <c r="A2" s="6"/>
      <c r="B2" s="7"/>
      <c r="C2" s="7"/>
      <c r="D2" s="7"/>
      <c r="E2" s="8"/>
      <c r="F2" s="7"/>
      <c r="G2" s="7"/>
      <c r="H2" s="7"/>
      <c r="I2" s="9"/>
      <c r="M2" s="5"/>
      <c r="N2" s="5"/>
    </row>
    <row r="3" spans="1:14" ht="13.5" thickBot="1">
      <c r="A3" s="6" t="s">
        <v>65</v>
      </c>
      <c r="B3" s="7"/>
      <c r="C3" s="309" t="s">
        <v>58</v>
      </c>
      <c r="D3" s="310"/>
      <c r="E3" s="310"/>
      <c r="F3" s="311"/>
      <c r="G3" s="7"/>
      <c r="H3" s="7"/>
      <c r="I3" s="9"/>
      <c r="M3" s="5"/>
      <c r="N3" s="5"/>
    </row>
    <row r="4" spans="1:14" ht="13.5" thickBot="1">
      <c r="A4" s="6"/>
      <c r="B4" s="7"/>
      <c r="C4" s="7"/>
      <c r="D4" s="7"/>
      <c r="E4" s="7"/>
      <c r="F4" s="7"/>
      <c r="G4" s="7"/>
      <c r="H4" s="7"/>
      <c r="I4" s="9"/>
      <c r="M4" s="5"/>
      <c r="N4" s="5"/>
    </row>
    <row r="5" spans="1:14" ht="13.5" thickBot="1">
      <c r="A5" s="6" t="s">
        <v>26</v>
      </c>
      <c r="B5" s="7"/>
      <c r="C5" s="32">
        <v>3</v>
      </c>
      <c r="D5" s="7" t="s">
        <v>21</v>
      </c>
      <c r="E5" s="7"/>
      <c r="F5" s="7"/>
      <c r="G5" s="7"/>
      <c r="H5" s="7"/>
      <c r="I5" s="9"/>
      <c r="M5" s="5"/>
      <c r="N5" s="5"/>
    </row>
    <row r="6" spans="1:14" ht="13.5" thickBot="1">
      <c r="A6" s="6" t="s">
        <v>27</v>
      </c>
      <c r="B6" s="7"/>
      <c r="C6" s="32">
        <v>2</v>
      </c>
      <c r="D6" s="7" t="s">
        <v>24</v>
      </c>
      <c r="E6" s="7"/>
      <c r="F6" s="7"/>
      <c r="G6" s="7"/>
      <c r="H6" s="7"/>
      <c r="I6" s="9"/>
      <c r="M6" s="5"/>
      <c r="N6" s="5"/>
    </row>
    <row r="7" spans="1:14" ht="13.5" thickBot="1">
      <c r="A7" s="6"/>
      <c r="B7" s="7"/>
      <c r="C7" s="7"/>
      <c r="D7" s="7"/>
      <c r="E7" s="7"/>
      <c r="F7" s="7"/>
      <c r="G7" s="7"/>
      <c r="H7" s="7"/>
      <c r="I7" s="9"/>
      <c r="M7" s="5"/>
      <c r="N7" s="5"/>
    </row>
    <row r="8" spans="1:14" ht="13.5" thickBot="1">
      <c r="A8" s="6" t="s">
        <v>28</v>
      </c>
      <c r="B8" s="7"/>
      <c r="C8" s="7"/>
      <c r="D8" s="7"/>
      <c r="E8" s="7"/>
      <c r="F8" s="7"/>
      <c r="G8" s="7"/>
      <c r="H8" s="7"/>
      <c r="I8" s="9"/>
      <c r="K8" s="315" t="s">
        <v>60</v>
      </c>
      <c r="L8" s="316"/>
      <c r="M8" s="5"/>
      <c r="N8" s="5"/>
    </row>
    <row r="9" spans="1:14" ht="13.5" thickBot="1">
      <c r="A9" s="6"/>
      <c r="B9" s="10" t="s">
        <v>18</v>
      </c>
      <c r="C9" s="7"/>
      <c r="D9" s="7" t="s">
        <v>17</v>
      </c>
      <c r="E9" s="7"/>
      <c r="F9" s="7"/>
      <c r="G9" s="7"/>
      <c r="H9" s="7"/>
      <c r="I9" s="9"/>
      <c r="K9" s="11" t="s">
        <v>22</v>
      </c>
      <c r="L9" s="12" t="s">
        <v>23</v>
      </c>
      <c r="M9" s="5"/>
      <c r="N9" s="5"/>
    </row>
    <row r="10" spans="1:14" ht="13.5" thickBot="1">
      <c r="A10" s="6">
        <v>1</v>
      </c>
      <c r="B10" s="32" t="s">
        <v>59</v>
      </c>
      <c r="C10" s="7"/>
      <c r="D10" s="38">
        <v>478</v>
      </c>
      <c r="E10" s="8" t="s">
        <v>8</v>
      </c>
      <c r="F10" s="50">
        <f>D10*12</f>
        <v>5736</v>
      </c>
      <c r="G10" s="7"/>
      <c r="H10" s="7"/>
      <c r="I10" s="9"/>
      <c r="K10" s="33">
        <v>1</v>
      </c>
      <c r="L10" s="34">
        <v>48930</v>
      </c>
      <c r="M10" s="5"/>
      <c r="N10" s="14"/>
    </row>
    <row r="11" spans="1:14" ht="13.5" thickBot="1">
      <c r="A11" s="6">
        <v>2</v>
      </c>
      <c r="B11" s="32"/>
      <c r="C11" s="7"/>
      <c r="D11" s="38"/>
      <c r="E11" s="8" t="s">
        <v>8</v>
      </c>
      <c r="F11" s="42">
        <f>D11*12</f>
        <v>0</v>
      </c>
      <c r="G11" s="7"/>
      <c r="H11" s="7"/>
      <c r="I11" s="9"/>
      <c r="K11" s="33">
        <v>2</v>
      </c>
      <c r="L11" s="34">
        <v>55920</v>
      </c>
      <c r="M11" s="5"/>
      <c r="N11" s="14"/>
    </row>
    <row r="12" spans="1:14" ht="13.5" thickBot="1">
      <c r="A12" s="6">
        <v>3</v>
      </c>
      <c r="B12" s="32"/>
      <c r="C12" s="7"/>
      <c r="D12" s="38"/>
      <c r="E12" s="8" t="s">
        <v>8</v>
      </c>
      <c r="F12" s="48">
        <f>D12*12</f>
        <v>0</v>
      </c>
      <c r="G12" s="7"/>
      <c r="H12" s="7"/>
      <c r="I12" s="9"/>
      <c r="K12" s="33">
        <v>3</v>
      </c>
      <c r="L12" s="34">
        <v>62910</v>
      </c>
      <c r="M12" s="5"/>
      <c r="N12" s="14"/>
    </row>
    <row r="13" spans="1:14" ht="13.5" thickBot="1">
      <c r="A13" s="6"/>
      <c r="B13" s="7"/>
      <c r="C13" s="7"/>
      <c r="D13" s="7"/>
      <c r="E13" s="15" t="s">
        <v>4</v>
      </c>
      <c r="F13" s="7"/>
      <c r="G13" s="7"/>
      <c r="H13" s="7"/>
      <c r="I13" s="9"/>
      <c r="K13" s="33">
        <v>4</v>
      </c>
      <c r="L13" s="34">
        <v>69900</v>
      </c>
      <c r="M13" s="5"/>
      <c r="N13" s="14"/>
    </row>
    <row r="14" spans="1:14" ht="13.5" thickBot="1">
      <c r="A14" s="6"/>
      <c r="B14" s="15"/>
      <c r="C14" s="7"/>
      <c r="D14" s="7"/>
      <c r="E14" s="7"/>
      <c r="F14" s="7"/>
      <c r="G14" s="7"/>
      <c r="H14" s="7"/>
      <c r="I14" s="49">
        <f>SUM(F10:F12)</f>
        <v>5736</v>
      </c>
      <c r="K14" s="33">
        <v>5</v>
      </c>
      <c r="L14" s="34">
        <v>75492</v>
      </c>
      <c r="M14" s="16"/>
      <c r="N14" s="14"/>
    </row>
    <row r="15" spans="1:14" ht="13.5" thickBot="1">
      <c r="A15" s="6" t="s">
        <v>29</v>
      </c>
      <c r="B15" s="7"/>
      <c r="C15" s="7"/>
      <c r="D15" s="7"/>
      <c r="E15" s="7"/>
      <c r="F15" s="7"/>
      <c r="G15" s="7"/>
      <c r="H15" s="7"/>
      <c r="I15" s="9"/>
      <c r="K15" s="33">
        <v>6</v>
      </c>
      <c r="L15" s="34">
        <v>81084</v>
      </c>
      <c r="M15" s="16"/>
      <c r="N15" s="14"/>
    </row>
    <row r="16" spans="1:14" ht="13.5" thickBot="1">
      <c r="A16" s="6" t="s">
        <v>15</v>
      </c>
      <c r="B16" s="7"/>
      <c r="C16" s="37">
        <f>I14/(VLOOKUP(C5,K10:L17,2,FALSE))</f>
        <v>9.1177873152122085E-2</v>
      </c>
      <c r="D16" s="17" t="s">
        <v>16</v>
      </c>
      <c r="E16" s="10"/>
      <c r="F16" s="7"/>
      <c r="G16" s="7"/>
      <c r="H16" s="7"/>
      <c r="I16" s="9"/>
      <c r="K16" s="33">
        <v>7</v>
      </c>
      <c r="L16" s="34">
        <v>86676</v>
      </c>
      <c r="M16" s="16"/>
      <c r="N16" s="14"/>
    </row>
    <row r="17" spans="1:15" ht="13.5" thickBot="1">
      <c r="A17" s="6"/>
      <c r="B17" s="7"/>
      <c r="C17" s="7"/>
      <c r="D17" s="7"/>
      <c r="E17" s="7"/>
      <c r="F17" s="7"/>
      <c r="G17" s="7"/>
      <c r="H17" s="7"/>
      <c r="I17" s="9"/>
      <c r="K17" s="35">
        <v>8</v>
      </c>
      <c r="L17" s="36">
        <v>92268</v>
      </c>
      <c r="M17" s="16"/>
      <c r="N17" s="14"/>
    </row>
    <row r="18" spans="1:15" ht="13.5" thickBot="1">
      <c r="A18" s="22" t="s">
        <v>72</v>
      </c>
      <c r="B18" s="7"/>
      <c r="C18" s="7"/>
      <c r="D18" s="7"/>
      <c r="E18" s="7"/>
      <c r="F18" s="7"/>
      <c r="G18" s="7"/>
      <c r="H18" s="7"/>
      <c r="I18" s="9"/>
      <c r="M18" s="5"/>
      <c r="N18" s="5"/>
    </row>
    <row r="19" spans="1:15" ht="13.5" thickBot="1">
      <c r="A19" s="6"/>
      <c r="B19" s="7" t="s">
        <v>14</v>
      </c>
      <c r="C19" s="7"/>
      <c r="D19" s="7"/>
      <c r="E19" s="32">
        <v>2</v>
      </c>
      <c r="F19" s="7" t="s">
        <v>10</v>
      </c>
      <c r="G19" s="7"/>
      <c r="H19" s="7"/>
      <c r="I19" s="40">
        <f>E19*480</f>
        <v>960</v>
      </c>
      <c r="M19" s="5"/>
      <c r="N19" s="5"/>
    </row>
    <row r="20" spans="1:15" ht="13.5" thickBot="1">
      <c r="A20" s="6"/>
      <c r="B20" s="7" t="s">
        <v>5</v>
      </c>
      <c r="C20" s="7"/>
      <c r="D20" s="7"/>
      <c r="E20" s="7"/>
      <c r="F20" s="7"/>
      <c r="G20" s="7"/>
      <c r="H20" s="7"/>
      <c r="I20" s="40"/>
      <c r="M20" s="5"/>
      <c r="N20" s="1"/>
      <c r="O20" s="1"/>
    </row>
    <row r="21" spans="1:15" ht="13.5" thickBot="1">
      <c r="A21" s="6"/>
      <c r="B21" s="7" t="s">
        <v>66</v>
      </c>
      <c r="C21" s="7"/>
      <c r="D21" s="7"/>
      <c r="E21" s="7"/>
      <c r="F21" s="7"/>
      <c r="G21" s="51"/>
      <c r="H21" s="7"/>
      <c r="I21" s="40"/>
      <c r="M21" s="5"/>
      <c r="N21" s="1"/>
      <c r="O21" s="1"/>
    </row>
    <row r="22" spans="1:15" ht="13.5" thickBot="1">
      <c r="A22" s="6"/>
      <c r="B22" s="7" t="s">
        <v>62</v>
      </c>
      <c r="C22" s="7"/>
      <c r="D22" s="7"/>
      <c r="E22" s="7"/>
      <c r="F22" s="7"/>
      <c r="G22" s="7"/>
      <c r="H22" s="7"/>
      <c r="I22" s="41"/>
      <c r="M22" s="5"/>
      <c r="N22" s="1"/>
      <c r="O22" s="1"/>
    </row>
    <row r="23" spans="1:15" ht="14.25" thickTop="1" thickBot="1">
      <c r="A23" s="6"/>
      <c r="B23" s="7"/>
      <c r="C23" s="7"/>
      <c r="D23" s="7"/>
      <c r="E23" s="7"/>
      <c r="F23" s="7"/>
      <c r="G23" s="15" t="s">
        <v>9</v>
      </c>
      <c r="H23" s="7"/>
      <c r="I23" s="39">
        <f>SUM(I19:I22)</f>
        <v>960</v>
      </c>
      <c r="M23" s="19"/>
      <c r="N23" s="1"/>
      <c r="O23" s="1"/>
    </row>
    <row r="24" spans="1:15" ht="13.5" thickBot="1">
      <c r="A24" s="6" t="s">
        <v>51</v>
      </c>
      <c r="B24" s="15"/>
      <c r="C24" s="7"/>
      <c r="D24" s="7"/>
      <c r="E24" s="7"/>
      <c r="F24" s="7"/>
      <c r="G24" s="7"/>
      <c r="H24" s="7"/>
      <c r="I24" s="20"/>
      <c r="M24" s="19"/>
      <c r="N24" s="1"/>
      <c r="O24" s="1"/>
    </row>
    <row r="25" spans="1:15" ht="13.5" thickBot="1">
      <c r="A25" s="6"/>
      <c r="B25" s="23" t="s">
        <v>71</v>
      </c>
      <c r="C25" s="7"/>
      <c r="D25" s="7"/>
      <c r="E25" s="7"/>
      <c r="F25" s="7"/>
      <c r="G25" s="7"/>
      <c r="H25" s="7"/>
      <c r="I25" s="42">
        <f>I14-I23</f>
        <v>4776</v>
      </c>
      <c r="M25" s="19"/>
      <c r="N25" s="1"/>
      <c r="O25" s="1"/>
    </row>
    <row r="26" spans="1:15" ht="13.5" thickBot="1">
      <c r="A26" s="6"/>
      <c r="B26" s="23" t="s">
        <v>73</v>
      </c>
      <c r="C26" s="7"/>
      <c r="D26" s="7"/>
      <c r="E26" s="7"/>
      <c r="F26" s="7"/>
      <c r="G26" s="7"/>
      <c r="H26" s="7"/>
      <c r="I26" s="42">
        <f>I25/12</f>
        <v>398</v>
      </c>
      <c r="M26" s="19"/>
      <c r="N26" s="1"/>
      <c r="O26" s="1"/>
    </row>
    <row r="27" spans="1:15" ht="13.5" thickBot="1">
      <c r="A27" s="6"/>
      <c r="B27" s="23" t="s">
        <v>74</v>
      </c>
      <c r="C27" s="10"/>
      <c r="D27" s="10"/>
      <c r="E27" s="10"/>
      <c r="F27" s="10"/>
      <c r="G27" s="10"/>
      <c r="H27" s="10"/>
      <c r="I27" s="52">
        <f>SUM(I26*0.6)</f>
        <v>238.79999999999998</v>
      </c>
      <c r="K27" s="8"/>
      <c r="L27" s="21"/>
      <c r="M27" s="5"/>
      <c r="N27" s="1"/>
      <c r="O27" s="1"/>
    </row>
    <row r="28" spans="1:15" ht="13.5" thickBot="1">
      <c r="A28" s="6"/>
      <c r="B28" s="7"/>
      <c r="C28" s="7"/>
      <c r="D28" s="7"/>
      <c r="E28" s="7"/>
      <c r="F28" s="7"/>
      <c r="G28" s="7"/>
      <c r="H28" s="7"/>
      <c r="I28" s="9"/>
      <c r="K28" s="8"/>
      <c r="L28" s="21"/>
      <c r="M28" s="5"/>
      <c r="N28" s="1"/>
      <c r="O28" s="1"/>
    </row>
    <row r="29" spans="1:15" ht="13.5" thickBot="1">
      <c r="A29" s="22" t="s">
        <v>53</v>
      </c>
      <c r="B29" s="7"/>
      <c r="C29" s="7"/>
      <c r="D29" s="7"/>
      <c r="E29" s="7"/>
      <c r="F29" s="7"/>
      <c r="G29" s="7"/>
      <c r="H29" s="7"/>
      <c r="I29" s="9"/>
      <c r="K29" s="315" t="s">
        <v>57</v>
      </c>
      <c r="L29" s="316"/>
      <c r="M29" s="5"/>
      <c r="N29" s="1"/>
      <c r="O29" s="1"/>
    </row>
    <row r="30" spans="1:15" ht="13.5" thickBot="1">
      <c r="A30" s="6"/>
      <c r="B30" s="15" t="s">
        <v>20</v>
      </c>
      <c r="C30" s="15"/>
      <c r="D30" s="15"/>
      <c r="E30" s="15"/>
      <c r="F30" s="15"/>
      <c r="G30" s="15"/>
      <c r="H30" s="15"/>
      <c r="I30" s="52">
        <f>I27</f>
        <v>238.79999999999998</v>
      </c>
      <c r="K30" s="13" t="s">
        <v>25</v>
      </c>
      <c r="L30" s="18" t="s">
        <v>46</v>
      </c>
      <c r="M30" s="5"/>
      <c r="N30" s="5"/>
    </row>
    <row r="31" spans="1:15">
      <c r="A31" s="6"/>
      <c r="B31" s="15"/>
      <c r="C31" s="15"/>
      <c r="D31" s="15"/>
      <c r="E31" s="15"/>
      <c r="F31" s="15"/>
      <c r="G31" s="15"/>
      <c r="H31" s="15"/>
      <c r="I31" s="20"/>
      <c r="K31" s="33">
        <v>0</v>
      </c>
      <c r="L31" s="34">
        <v>604</v>
      </c>
      <c r="M31" s="5"/>
      <c r="N31" s="5"/>
    </row>
    <row r="32" spans="1:15" ht="13.5" thickBot="1">
      <c r="A32" s="6" t="s">
        <v>63</v>
      </c>
      <c r="B32" s="7"/>
      <c r="C32" s="7"/>
      <c r="D32" s="7"/>
      <c r="E32" s="7"/>
      <c r="F32" s="7"/>
      <c r="G32" s="7"/>
      <c r="H32" s="7"/>
      <c r="I32" s="9"/>
      <c r="K32" s="33">
        <v>1</v>
      </c>
      <c r="L32" s="34">
        <v>699</v>
      </c>
      <c r="M32" s="5"/>
      <c r="N32" s="5"/>
    </row>
    <row r="33" spans="1:14" ht="13.5" thickBot="1">
      <c r="A33" s="6"/>
      <c r="B33" s="7" t="s">
        <v>6</v>
      </c>
      <c r="C33" s="7"/>
      <c r="D33" s="7"/>
      <c r="E33" s="7"/>
      <c r="F33" s="7"/>
      <c r="G33" s="7"/>
      <c r="H33" s="7"/>
      <c r="I33" s="54">
        <v>841</v>
      </c>
      <c r="K33" s="33">
        <v>2</v>
      </c>
      <c r="L33" s="34">
        <v>910</v>
      </c>
      <c r="M33" s="5"/>
      <c r="N33" s="5"/>
    </row>
    <row r="34" spans="1:14" ht="13.5" thickBot="1">
      <c r="A34" s="6"/>
      <c r="B34" s="10" t="s">
        <v>19</v>
      </c>
      <c r="C34" s="7"/>
      <c r="D34" s="7"/>
      <c r="E34" s="7"/>
      <c r="F34" s="7"/>
      <c r="G34" s="7"/>
      <c r="H34" s="7"/>
      <c r="I34" s="56">
        <v>0</v>
      </c>
      <c r="J34" s="5"/>
      <c r="K34" s="33">
        <v>3</v>
      </c>
      <c r="L34" s="34">
        <v>1326</v>
      </c>
      <c r="M34" s="5"/>
      <c r="N34" s="5"/>
    </row>
    <row r="35" spans="1:14" ht="13.5" thickBot="1">
      <c r="A35" s="6"/>
      <c r="B35" s="10" t="s">
        <v>7</v>
      </c>
      <c r="C35" s="7"/>
      <c r="D35" s="7"/>
      <c r="E35" s="7"/>
      <c r="F35" s="7"/>
      <c r="G35" s="7"/>
      <c r="H35" s="7"/>
      <c r="I35" s="55">
        <f>I33+I34</f>
        <v>841</v>
      </c>
      <c r="J35" s="5"/>
      <c r="K35" s="35">
        <v>4</v>
      </c>
      <c r="L35" s="36">
        <v>1589</v>
      </c>
      <c r="M35" s="4"/>
      <c r="N35" s="4"/>
    </row>
    <row r="36" spans="1:14" ht="13.5" thickBot="1">
      <c r="A36" s="6"/>
      <c r="B36" s="7" t="s">
        <v>12</v>
      </c>
      <c r="C36" s="42">
        <f>I35</f>
        <v>841</v>
      </c>
      <c r="D36" s="317" t="s">
        <v>11</v>
      </c>
      <c r="E36" s="318"/>
      <c r="F36" s="319"/>
      <c r="G36" s="42">
        <f>VLOOKUP(C6,K31:L35,2,FALSE)</f>
        <v>910</v>
      </c>
      <c r="I36" s="26"/>
      <c r="J36" s="5"/>
      <c r="M36" s="4"/>
      <c r="N36" s="4"/>
    </row>
    <row r="37" spans="1:14">
      <c r="A37" s="6"/>
      <c r="B37" s="27" t="s">
        <v>56</v>
      </c>
      <c r="C37" s="27"/>
      <c r="D37" s="27"/>
      <c r="E37" s="27"/>
      <c r="F37" s="27"/>
      <c r="G37" s="27"/>
      <c r="H37" s="7"/>
      <c r="I37" s="9"/>
      <c r="J37" s="5"/>
      <c r="M37" s="4"/>
      <c r="N37" s="4"/>
    </row>
    <row r="38" spans="1:14" ht="9.6" customHeight="1">
      <c r="A38" s="6"/>
      <c r="B38" s="7"/>
      <c r="C38" s="7"/>
      <c r="D38" s="7"/>
      <c r="E38" s="7"/>
      <c r="F38" s="7"/>
      <c r="G38" s="7"/>
      <c r="H38" s="7"/>
      <c r="I38" s="20"/>
      <c r="M38" s="5"/>
      <c r="N38" s="5"/>
    </row>
    <row r="39" spans="1:14" ht="13.5" thickBot="1">
      <c r="A39" s="22" t="s">
        <v>64</v>
      </c>
      <c r="B39" s="7"/>
      <c r="C39" s="7"/>
      <c r="D39" s="7"/>
      <c r="E39" s="7"/>
      <c r="F39" s="7"/>
      <c r="G39" s="7"/>
      <c r="H39" s="7"/>
      <c r="I39" s="9"/>
      <c r="M39" s="5"/>
      <c r="N39" s="5"/>
    </row>
    <row r="40" spans="1:14">
      <c r="A40" s="6"/>
      <c r="B40" s="7" t="s">
        <v>6</v>
      </c>
      <c r="C40" s="7"/>
      <c r="D40" s="7"/>
      <c r="E40" s="7"/>
      <c r="F40" s="7"/>
      <c r="G40" s="7"/>
      <c r="H40" s="7"/>
      <c r="I40" s="57">
        <f>I33</f>
        <v>841</v>
      </c>
      <c r="M40" s="5"/>
      <c r="N40" s="5"/>
    </row>
    <row r="41" spans="1:14">
      <c r="A41" s="6"/>
      <c r="B41" s="23" t="s">
        <v>54</v>
      </c>
      <c r="C41" s="7"/>
      <c r="D41" s="7"/>
      <c r="E41" s="7"/>
      <c r="F41" s="7"/>
      <c r="G41" s="7"/>
      <c r="H41" s="7"/>
      <c r="I41" s="58">
        <f>I30-I34</f>
        <v>238.79999999999998</v>
      </c>
      <c r="M41" s="5"/>
      <c r="N41" s="5"/>
    </row>
    <row r="42" spans="1:14" ht="13.5" thickBot="1">
      <c r="A42" s="6"/>
      <c r="B42" s="15" t="s">
        <v>0</v>
      </c>
      <c r="C42" s="7"/>
      <c r="D42" s="7"/>
      <c r="E42" s="7"/>
      <c r="F42" s="7"/>
      <c r="G42" s="7"/>
      <c r="H42" s="7"/>
      <c r="I42" s="53">
        <f>I40-I41</f>
        <v>602.20000000000005</v>
      </c>
      <c r="M42" s="5"/>
      <c r="N42" s="5"/>
    </row>
    <row r="43" spans="1:14">
      <c r="A43" s="6"/>
      <c r="B43" s="27"/>
      <c r="C43" s="27"/>
      <c r="D43" s="27"/>
      <c r="E43" s="27"/>
      <c r="F43" s="27"/>
      <c r="G43" s="27"/>
      <c r="H43" s="7"/>
      <c r="I43" s="9"/>
      <c r="J43" s="5"/>
      <c r="M43" s="4"/>
      <c r="N43" s="4"/>
    </row>
    <row r="44" spans="1:14">
      <c r="A44" s="28" t="s">
        <v>45</v>
      </c>
      <c r="B44" s="27"/>
      <c r="C44" s="27"/>
      <c r="D44" s="27"/>
      <c r="E44" s="27"/>
      <c r="F44" s="27"/>
      <c r="G44" s="27"/>
      <c r="H44" s="7"/>
      <c r="I44" s="9"/>
      <c r="J44" s="5"/>
      <c r="M44" s="4"/>
      <c r="N44" s="4"/>
    </row>
    <row r="45" spans="1:14" ht="5.0999999999999996" customHeight="1" thickBot="1">
      <c r="A45" s="28"/>
      <c r="B45" s="27"/>
      <c r="C45" s="27"/>
      <c r="D45" s="27"/>
      <c r="E45" s="27"/>
      <c r="F45" s="27"/>
      <c r="G45" s="27"/>
      <c r="H45" s="7"/>
      <c r="I45" s="9"/>
      <c r="J45" s="5"/>
      <c r="M45" s="4"/>
      <c r="N45" s="4"/>
    </row>
    <row r="46" spans="1:14" s="29" customFormat="1" ht="13.5" thickBot="1">
      <c r="A46" s="28"/>
      <c r="B46" s="15" t="s">
        <v>49</v>
      </c>
      <c r="C46" s="15"/>
      <c r="D46" s="15"/>
      <c r="E46" s="15"/>
      <c r="F46" s="15"/>
      <c r="G46" s="43" t="s">
        <v>47</v>
      </c>
      <c r="H46" s="15"/>
      <c r="I46" s="20"/>
    </row>
    <row r="47" spans="1:14" ht="4.5" customHeight="1" thickBot="1">
      <c r="A47" s="6"/>
      <c r="B47" s="27"/>
      <c r="C47" s="27"/>
      <c r="D47" s="27"/>
      <c r="E47" s="27"/>
      <c r="F47" s="27"/>
      <c r="G47" s="27"/>
      <c r="H47" s="7"/>
      <c r="I47" s="9"/>
      <c r="J47" s="5"/>
      <c r="M47" s="4"/>
      <c r="N47" s="4"/>
    </row>
    <row r="48" spans="1:14" ht="13.5" thickBot="1">
      <c r="A48" s="6"/>
      <c r="B48" s="15" t="s">
        <v>50</v>
      </c>
      <c r="C48" s="10"/>
      <c r="D48" s="10" t="s">
        <v>31</v>
      </c>
      <c r="E48" s="44" t="s">
        <v>36</v>
      </c>
      <c r="F48" s="10" t="s">
        <v>32</v>
      </c>
      <c r="G48" s="45">
        <v>23</v>
      </c>
      <c r="H48" s="61" t="s">
        <v>44</v>
      </c>
      <c r="I48" s="62">
        <f>1-((G48-1)/(VLOOKUP(E48,A66:B77,2,FALSE)))</f>
        <v>0.26666666666666672</v>
      </c>
      <c r="J48" s="5"/>
      <c r="M48" s="4"/>
      <c r="N48" s="4"/>
    </row>
    <row r="49" spans="1:14" ht="6.6" customHeight="1">
      <c r="A49" s="6"/>
      <c r="B49" s="27"/>
      <c r="C49" s="27"/>
      <c r="D49" s="27"/>
      <c r="E49" s="27"/>
      <c r="F49" s="27"/>
      <c r="G49" s="27"/>
      <c r="H49" s="7"/>
      <c r="I49" s="9"/>
      <c r="J49" s="5"/>
      <c r="M49" s="4"/>
      <c r="N49" s="4"/>
    </row>
    <row r="50" spans="1:14" ht="13.5" thickBot="1">
      <c r="A50" s="28" t="s">
        <v>30</v>
      </c>
      <c r="B50" s="15"/>
      <c r="C50" s="15"/>
      <c r="D50" s="15"/>
      <c r="E50" s="7"/>
      <c r="F50" s="7"/>
      <c r="G50" s="7"/>
      <c r="H50" s="7"/>
      <c r="I50" s="9"/>
      <c r="J50" s="5"/>
      <c r="M50" s="4"/>
      <c r="N50" s="4"/>
    </row>
    <row r="51" spans="1:14" ht="13.5" thickBot="1">
      <c r="A51" s="28"/>
      <c r="B51" s="15" t="s">
        <v>52</v>
      </c>
      <c r="C51" s="15"/>
      <c r="D51" s="15"/>
      <c r="E51" s="7"/>
      <c r="F51" s="7"/>
      <c r="G51" s="7"/>
      <c r="H51" s="7"/>
      <c r="I51" s="49">
        <f>(IF(G46="Yes",I48*I41,I41))</f>
        <v>63.680000000000007</v>
      </c>
      <c r="J51" s="5"/>
      <c r="M51" s="4"/>
      <c r="N51" s="4"/>
    </row>
    <row r="52" spans="1:14" ht="13.5" thickBot="1">
      <c r="A52" s="28"/>
      <c r="B52" s="15" t="s">
        <v>13</v>
      </c>
      <c r="C52" s="15"/>
      <c r="D52" s="15"/>
      <c r="E52" s="7"/>
      <c r="F52" s="7"/>
      <c r="G52" s="7"/>
      <c r="H52" s="7"/>
      <c r="I52" s="49">
        <f>(IF(G46="Yes",(I48)*I42,I42))</f>
        <v>160.5866666666667</v>
      </c>
      <c r="J52" s="5"/>
      <c r="K52" s="24"/>
      <c r="L52" s="24"/>
      <c r="M52" s="5"/>
      <c r="N52" s="25">
        <v>13</v>
      </c>
    </row>
    <row r="53" spans="1:14" ht="13.5" thickBot="1">
      <c r="A53" s="28"/>
      <c r="B53" s="15" t="s">
        <v>1</v>
      </c>
      <c r="C53" s="15"/>
      <c r="D53" s="15"/>
      <c r="E53" s="7"/>
      <c r="F53" s="7"/>
      <c r="G53" s="7"/>
      <c r="H53" s="7"/>
      <c r="I53" s="59"/>
      <c r="J53" s="5"/>
      <c r="K53" s="24"/>
      <c r="L53" s="24"/>
      <c r="M53" s="5"/>
      <c r="N53" s="25">
        <v>14</v>
      </c>
    </row>
    <row r="54" spans="1:14" ht="13.5" thickBot="1">
      <c r="A54" s="28"/>
      <c r="B54" s="15" t="s">
        <v>2</v>
      </c>
      <c r="C54" s="15"/>
      <c r="D54" s="15"/>
      <c r="E54" s="7"/>
      <c r="F54" s="7"/>
      <c r="G54" s="7"/>
      <c r="H54" s="7"/>
      <c r="I54" s="59"/>
      <c r="J54" s="5"/>
      <c r="K54" s="24"/>
      <c r="L54" s="24"/>
      <c r="M54" s="4"/>
      <c r="N54" s="4"/>
    </row>
    <row r="55" spans="1:14" ht="13.5" thickBot="1">
      <c r="A55" s="28"/>
      <c r="B55" s="15" t="s">
        <v>3</v>
      </c>
      <c r="C55" s="15"/>
      <c r="D55" s="15"/>
      <c r="E55" s="7"/>
      <c r="F55" s="7"/>
      <c r="G55" s="7"/>
      <c r="H55" s="7"/>
      <c r="I55" s="59"/>
      <c r="J55" s="5"/>
      <c r="M55" s="4"/>
      <c r="N55" s="4"/>
    </row>
    <row r="56" spans="1:14" ht="13.5" thickBot="1">
      <c r="A56" s="28"/>
      <c r="B56" s="15" t="s">
        <v>68</v>
      </c>
      <c r="C56" s="15"/>
      <c r="D56" s="320"/>
      <c r="E56" s="321"/>
      <c r="F56" s="321"/>
      <c r="G56" s="322"/>
      <c r="H56" s="7"/>
      <c r="I56" s="59"/>
      <c r="J56" s="5"/>
      <c r="M56" s="4"/>
      <c r="N56" s="4"/>
    </row>
    <row r="57" spans="1:14" ht="13.5" thickBot="1">
      <c r="A57" s="6"/>
      <c r="B57" s="15" t="s">
        <v>67</v>
      </c>
      <c r="C57" s="7"/>
      <c r="D57" s="7"/>
      <c r="E57" s="7"/>
      <c r="F57" s="7"/>
      <c r="G57" s="7"/>
      <c r="H57" s="7"/>
      <c r="I57" s="59"/>
      <c r="J57" s="5"/>
      <c r="M57" s="4"/>
      <c r="N57" s="4"/>
    </row>
    <row r="58" spans="1:14" ht="15.6" customHeight="1" thickBot="1">
      <c r="A58" s="6"/>
      <c r="B58" s="7"/>
      <c r="C58" s="7"/>
      <c r="D58" s="7"/>
      <c r="E58" s="7"/>
      <c r="F58" s="7"/>
      <c r="G58" s="7"/>
      <c r="H58" s="7"/>
      <c r="I58" s="60"/>
      <c r="J58" s="5"/>
      <c r="M58" s="4"/>
      <c r="N58" s="4"/>
    </row>
    <row r="59" spans="1:14" ht="10.5" customHeight="1" thickBot="1">
      <c r="A59" s="6"/>
      <c r="B59" s="7"/>
      <c r="C59" s="7"/>
      <c r="D59" s="7"/>
      <c r="E59" s="7"/>
      <c r="F59" s="7"/>
      <c r="G59" s="7"/>
      <c r="H59" s="7"/>
      <c r="I59" s="20"/>
      <c r="J59" s="5"/>
      <c r="M59" s="4"/>
      <c r="N59" s="4"/>
    </row>
    <row r="60" spans="1:14" ht="17.100000000000001" customHeight="1" thickBot="1">
      <c r="A60" s="46" t="s">
        <v>69</v>
      </c>
      <c r="B60" s="309"/>
      <c r="C60" s="310"/>
      <c r="D60" s="310"/>
      <c r="E60" s="310"/>
      <c r="F60" s="311"/>
      <c r="G60" s="47" t="s">
        <v>70</v>
      </c>
      <c r="H60" s="309"/>
      <c r="I60" s="311"/>
      <c r="J60" s="23"/>
      <c r="M60" s="4"/>
      <c r="N60" s="4"/>
    </row>
    <row r="61" spans="1:14">
      <c r="J61" s="5"/>
      <c r="M61" s="4"/>
      <c r="N61" s="4"/>
    </row>
    <row r="62" spans="1:14">
      <c r="A62" s="24" t="s">
        <v>47</v>
      </c>
      <c r="B62" s="24"/>
      <c r="M62" s="4"/>
      <c r="N62" s="4"/>
    </row>
    <row r="63" spans="1:14">
      <c r="A63" s="24" t="s">
        <v>48</v>
      </c>
      <c r="B63" s="24"/>
      <c r="M63" s="4"/>
      <c r="N63" s="4"/>
    </row>
    <row r="64" spans="1:14">
      <c r="A64" s="5"/>
      <c r="B64" s="5"/>
      <c r="M64" s="4"/>
      <c r="N64" s="4"/>
    </row>
    <row r="65" spans="1:14">
      <c r="A65" s="5"/>
      <c r="B65" s="5"/>
      <c r="M65" s="4"/>
      <c r="N65" s="4"/>
    </row>
    <row r="66" spans="1:14">
      <c r="A66" s="24" t="s">
        <v>33</v>
      </c>
      <c r="B66" s="24">
        <v>31</v>
      </c>
      <c r="M66" s="4"/>
      <c r="N66" s="4"/>
    </row>
    <row r="67" spans="1:14">
      <c r="A67" s="24" t="s">
        <v>34</v>
      </c>
      <c r="B67" s="24">
        <v>28</v>
      </c>
      <c r="M67" s="25"/>
      <c r="N67" s="25">
        <v>27</v>
      </c>
    </row>
    <row r="68" spans="1:14">
      <c r="A68" s="24" t="s">
        <v>35</v>
      </c>
      <c r="B68" s="24">
        <v>31</v>
      </c>
      <c r="M68" s="25"/>
      <c r="N68" s="25">
        <v>28</v>
      </c>
    </row>
    <row r="69" spans="1:14">
      <c r="A69" s="24" t="s">
        <v>36</v>
      </c>
      <c r="B69" s="24">
        <v>30</v>
      </c>
      <c r="M69" s="25"/>
      <c r="N69" s="25">
        <v>29</v>
      </c>
    </row>
    <row r="70" spans="1:14">
      <c r="A70" s="24" t="s">
        <v>37</v>
      </c>
      <c r="B70" s="24">
        <v>31</v>
      </c>
      <c r="M70" s="25"/>
      <c r="N70" s="25">
        <v>30</v>
      </c>
    </row>
    <row r="71" spans="1:14">
      <c r="A71" s="24" t="s">
        <v>38</v>
      </c>
      <c r="B71" s="24">
        <v>30</v>
      </c>
      <c r="M71" s="25"/>
      <c r="N71" s="25">
        <v>31</v>
      </c>
    </row>
    <row r="72" spans="1:14">
      <c r="A72" s="24" t="s">
        <v>39</v>
      </c>
      <c r="B72" s="24">
        <v>31</v>
      </c>
      <c r="K72" s="25"/>
      <c r="L72" s="25"/>
      <c r="M72" s="25"/>
      <c r="N72" s="25"/>
    </row>
    <row r="73" spans="1:14">
      <c r="A73" s="24" t="s">
        <v>40</v>
      </c>
      <c r="B73" s="24">
        <v>31</v>
      </c>
      <c r="K73" s="25"/>
      <c r="L73" s="25"/>
      <c r="M73" s="25"/>
      <c r="N73" s="25"/>
    </row>
    <row r="74" spans="1:14">
      <c r="A74" s="24" t="s">
        <v>41</v>
      </c>
      <c r="B74" s="24">
        <v>30</v>
      </c>
      <c r="K74" s="25"/>
      <c r="L74" s="25"/>
      <c r="M74" s="25"/>
      <c r="N74" s="25"/>
    </row>
    <row r="75" spans="1:14">
      <c r="A75" s="24" t="s">
        <v>42</v>
      </c>
      <c r="B75" s="24">
        <v>31</v>
      </c>
      <c r="K75" s="25"/>
      <c r="L75" s="25"/>
      <c r="M75" s="25"/>
      <c r="N75" s="25"/>
    </row>
    <row r="76" spans="1:14">
      <c r="A76" s="24" t="s">
        <v>55</v>
      </c>
      <c r="B76" s="24">
        <v>30</v>
      </c>
      <c r="K76" s="25"/>
      <c r="L76" s="25"/>
      <c r="M76" s="25"/>
      <c r="N76" s="25"/>
    </row>
    <row r="77" spans="1:14">
      <c r="A77" s="24" t="s">
        <v>43</v>
      </c>
      <c r="B77" s="24">
        <v>31</v>
      </c>
      <c r="K77" s="25"/>
      <c r="L77" s="25"/>
      <c r="M77" s="25"/>
      <c r="N77" s="25"/>
    </row>
  </sheetData>
  <sheetProtection insertRows="0"/>
  <mergeCells count="8">
    <mergeCell ref="B60:F60"/>
    <mergeCell ref="H60:I60"/>
    <mergeCell ref="A1:I1"/>
    <mergeCell ref="C3:F3"/>
    <mergeCell ref="K8:L8"/>
    <mergeCell ref="K29:L29"/>
    <mergeCell ref="D36:F36"/>
    <mergeCell ref="D56:G56"/>
  </mergeCells>
  <dataValidations count="3">
    <dataValidation type="list" allowBlank="1" showInputMessage="1" showErrorMessage="1" sqref="E48">
      <formula1>$A$66:$A$77</formula1>
    </dataValidation>
    <dataValidation type="list" allowBlank="1" showInputMessage="1" showErrorMessage="1" sqref="G46">
      <formula1>$A$62:$A$63</formula1>
    </dataValidation>
    <dataValidation type="list" allowBlank="1" showInputMessage="1" showErrorMessage="1" sqref="G48">
      <formula1>$N$52:$N$71</formula1>
    </dataValidation>
  </dataValidations>
  <pageMargins left="0.7" right="0.7" top="0.75" bottom="0.75" header="0.3" footer="0.3"/>
  <pageSetup scale="89" orientation="portrait" r:id="rId1"/>
  <headerFooter alignWithMargins="0">
    <oddHeader xml:space="preserve">&amp;C&amp;14RENT ASSISTANCE CALCULATION </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7"/>
  <sheetViews>
    <sheetView zoomScaleNormal="100" workbookViewId="0">
      <selection activeCell="B28" sqref="B28"/>
    </sheetView>
  </sheetViews>
  <sheetFormatPr defaultColWidth="9.140625" defaultRowHeight="12.75"/>
  <cols>
    <col min="1" max="1" width="12.140625" style="4" customWidth="1"/>
    <col min="2" max="2" width="15.140625" style="4" customWidth="1"/>
    <col min="3" max="3" width="11.28515625" style="4" customWidth="1"/>
    <col min="4" max="5" width="9.140625" style="4"/>
    <col min="6" max="6" width="10.5703125" style="4" customWidth="1"/>
    <col min="7" max="8" width="9.140625" style="4"/>
    <col min="9" max="9" width="10.7109375" style="30" customWidth="1"/>
    <col min="10" max="10" width="9.140625" style="4"/>
    <col min="11" max="11" width="13.85546875" style="4" customWidth="1"/>
    <col min="12" max="12" width="19.140625" style="4" customWidth="1"/>
    <col min="13" max="14" width="9.140625" style="31"/>
    <col min="15" max="16384" width="9.140625" style="4"/>
  </cols>
  <sheetData>
    <row r="1" spans="1:14" ht="23.25" customHeight="1" thickBot="1">
      <c r="A1" s="312" t="s">
        <v>61</v>
      </c>
      <c r="B1" s="313"/>
      <c r="C1" s="313"/>
      <c r="D1" s="313"/>
      <c r="E1" s="313"/>
      <c r="F1" s="313"/>
      <c r="G1" s="313"/>
      <c r="H1" s="313"/>
      <c r="I1" s="314"/>
      <c r="M1" s="5"/>
      <c r="N1" s="5"/>
    </row>
    <row r="2" spans="1:14" ht="13.5" thickBot="1">
      <c r="A2" s="6"/>
      <c r="B2" s="7"/>
      <c r="C2" s="7"/>
      <c r="D2" s="7"/>
      <c r="E2" s="8"/>
      <c r="F2" s="7"/>
      <c r="G2" s="7"/>
      <c r="H2" s="7"/>
      <c r="I2" s="9"/>
      <c r="M2" s="5"/>
      <c r="N2" s="5"/>
    </row>
    <row r="3" spans="1:14" ht="13.5" thickBot="1">
      <c r="A3" s="6" t="s">
        <v>65</v>
      </c>
      <c r="B3" s="7"/>
      <c r="C3" s="309" t="s">
        <v>58</v>
      </c>
      <c r="D3" s="310"/>
      <c r="E3" s="310"/>
      <c r="F3" s="311"/>
      <c r="G3" s="7"/>
      <c r="H3" s="7"/>
      <c r="I3" s="9"/>
      <c r="M3" s="5"/>
      <c r="N3" s="5"/>
    </row>
    <row r="4" spans="1:14" ht="13.5" thickBot="1">
      <c r="A4" s="6"/>
      <c r="B4" s="7"/>
      <c r="C4" s="7"/>
      <c r="D4" s="7"/>
      <c r="E4" s="7"/>
      <c r="F4" s="7"/>
      <c r="G4" s="7"/>
      <c r="H4" s="7"/>
      <c r="I4" s="9"/>
      <c r="M4" s="5"/>
      <c r="N4" s="5"/>
    </row>
    <row r="5" spans="1:14" ht="13.5" thickBot="1">
      <c r="A5" s="6" t="s">
        <v>26</v>
      </c>
      <c r="B5" s="7"/>
      <c r="C5" s="32">
        <v>3</v>
      </c>
      <c r="D5" s="7" t="s">
        <v>21</v>
      </c>
      <c r="E5" s="7"/>
      <c r="F5" s="7"/>
      <c r="G5" s="7"/>
      <c r="H5" s="7"/>
      <c r="I5" s="9"/>
      <c r="M5" s="5"/>
      <c r="N5" s="5"/>
    </row>
    <row r="6" spans="1:14" ht="13.5" thickBot="1">
      <c r="A6" s="6" t="s">
        <v>27</v>
      </c>
      <c r="B6" s="7"/>
      <c r="C6" s="32">
        <v>2</v>
      </c>
      <c r="D6" s="7" t="s">
        <v>24</v>
      </c>
      <c r="E6" s="7"/>
      <c r="F6" s="7"/>
      <c r="G6" s="7"/>
      <c r="H6" s="7"/>
      <c r="I6" s="9"/>
      <c r="M6" s="5"/>
      <c r="N6" s="5"/>
    </row>
    <row r="7" spans="1:14" ht="13.5" thickBot="1">
      <c r="A7" s="6"/>
      <c r="B7" s="7"/>
      <c r="C7" s="7"/>
      <c r="D7" s="7"/>
      <c r="E7" s="7"/>
      <c r="F7" s="7"/>
      <c r="G7" s="7"/>
      <c r="H7" s="7"/>
      <c r="I7" s="9"/>
      <c r="M7" s="5"/>
      <c r="N7" s="5"/>
    </row>
    <row r="8" spans="1:14" ht="13.5" thickBot="1">
      <c r="A8" s="6" t="s">
        <v>28</v>
      </c>
      <c r="B8" s="7"/>
      <c r="C8" s="7"/>
      <c r="D8" s="7"/>
      <c r="E8" s="7"/>
      <c r="F8" s="7"/>
      <c r="G8" s="7"/>
      <c r="H8" s="7"/>
      <c r="I8" s="9"/>
      <c r="K8" s="315" t="s">
        <v>60</v>
      </c>
      <c r="L8" s="316"/>
      <c r="M8" s="5"/>
      <c r="N8" s="5"/>
    </row>
    <row r="9" spans="1:14" ht="13.5" thickBot="1">
      <c r="A9" s="6"/>
      <c r="B9" s="10" t="s">
        <v>18</v>
      </c>
      <c r="C9" s="7"/>
      <c r="D9" s="7" t="s">
        <v>17</v>
      </c>
      <c r="E9" s="7"/>
      <c r="F9" s="7"/>
      <c r="G9" s="7"/>
      <c r="H9" s="7"/>
      <c r="I9" s="9"/>
      <c r="K9" s="11" t="s">
        <v>22</v>
      </c>
      <c r="L9" s="12" t="s">
        <v>23</v>
      </c>
      <c r="M9" s="5"/>
      <c r="N9" s="5"/>
    </row>
    <row r="10" spans="1:14" ht="13.5" thickBot="1">
      <c r="A10" s="6">
        <v>1</v>
      </c>
      <c r="B10" s="32" t="s">
        <v>59</v>
      </c>
      <c r="C10" s="7"/>
      <c r="D10" s="38">
        <v>478</v>
      </c>
      <c r="E10" s="8" t="s">
        <v>8</v>
      </c>
      <c r="F10" s="50">
        <f>D10*12</f>
        <v>5736</v>
      </c>
      <c r="G10" s="7"/>
      <c r="H10" s="7"/>
      <c r="I10" s="9"/>
      <c r="K10" s="33">
        <v>1</v>
      </c>
      <c r="L10" s="34">
        <v>48930</v>
      </c>
      <c r="M10" s="5"/>
      <c r="N10" s="14"/>
    </row>
    <row r="11" spans="1:14" ht="13.5" thickBot="1">
      <c r="A11" s="6">
        <v>2</v>
      </c>
      <c r="B11" s="32"/>
      <c r="C11" s="7"/>
      <c r="D11" s="38"/>
      <c r="E11" s="8" t="s">
        <v>8</v>
      </c>
      <c r="F11" s="42">
        <f>D11*12</f>
        <v>0</v>
      </c>
      <c r="G11" s="7"/>
      <c r="H11" s="7"/>
      <c r="I11" s="9"/>
      <c r="K11" s="33">
        <v>2</v>
      </c>
      <c r="L11" s="34">
        <v>55920</v>
      </c>
      <c r="M11" s="5"/>
      <c r="N11" s="14"/>
    </row>
    <row r="12" spans="1:14" ht="13.5" thickBot="1">
      <c r="A12" s="6">
        <v>3</v>
      </c>
      <c r="B12" s="32"/>
      <c r="C12" s="7"/>
      <c r="D12" s="38"/>
      <c r="E12" s="8" t="s">
        <v>8</v>
      </c>
      <c r="F12" s="48">
        <f>D12*12</f>
        <v>0</v>
      </c>
      <c r="G12" s="7"/>
      <c r="H12" s="7"/>
      <c r="I12" s="9"/>
      <c r="K12" s="33">
        <v>3</v>
      </c>
      <c r="L12" s="34">
        <v>62910</v>
      </c>
      <c r="M12" s="5"/>
      <c r="N12" s="14"/>
    </row>
    <row r="13" spans="1:14" ht="13.5" thickBot="1">
      <c r="A13" s="6"/>
      <c r="B13" s="7"/>
      <c r="C13" s="7"/>
      <c r="D13" s="7"/>
      <c r="E13" s="15" t="s">
        <v>4</v>
      </c>
      <c r="F13" s="7"/>
      <c r="G13" s="7"/>
      <c r="H13" s="7"/>
      <c r="I13" s="9"/>
      <c r="K13" s="33">
        <v>4</v>
      </c>
      <c r="L13" s="34">
        <v>69900</v>
      </c>
      <c r="M13" s="5"/>
      <c r="N13" s="14"/>
    </row>
    <row r="14" spans="1:14" ht="13.5" thickBot="1">
      <c r="A14" s="6"/>
      <c r="B14" s="15"/>
      <c r="C14" s="7"/>
      <c r="D14" s="7"/>
      <c r="E14" s="7"/>
      <c r="F14" s="7"/>
      <c r="G14" s="7"/>
      <c r="H14" s="7"/>
      <c r="I14" s="49">
        <f>SUM(F10:F12)</f>
        <v>5736</v>
      </c>
      <c r="K14" s="33">
        <v>5</v>
      </c>
      <c r="L14" s="34">
        <v>75492</v>
      </c>
      <c r="M14" s="16"/>
      <c r="N14" s="14"/>
    </row>
    <row r="15" spans="1:14" ht="13.5" thickBot="1">
      <c r="A15" s="6" t="s">
        <v>29</v>
      </c>
      <c r="B15" s="7"/>
      <c r="C15" s="7"/>
      <c r="D15" s="7"/>
      <c r="E15" s="7"/>
      <c r="F15" s="7"/>
      <c r="G15" s="7"/>
      <c r="H15" s="7"/>
      <c r="I15" s="9"/>
      <c r="K15" s="33">
        <v>6</v>
      </c>
      <c r="L15" s="34">
        <v>81084</v>
      </c>
      <c r="M15" s="16"/>
      <c r="N15" s="14"/>
    </row>
    <row r="16" spans="1:14" ht="13.5" thickBot="1">
      <c r="A16" s="6" t="s">
        <v>15</v>
      </c>
      <c r="B16" s="7"/>
      <c r="C16" s="37">
        <f>I14/(VLOOKUP(C5,K10:L17,2,FALSE))</f>
        <v>9.1177873152122085E-2</v>
      </c>
      <c r="D16" s="17" t="s">
        <v>16</v>
      </c>
      <c r="E16" s="10"/>
      <c r="F16" s="7"/>
      <c r="G16" s="7"/>
      <c r="H16" s="7"/>
      <c r="I16" s="9"/>
      <c r="K16" s="33">
        <v>7</v>
      </c>
      <c r="L16" s="34">
        <v>86676</v>
      </c>
      <c r="M16" s="16"/>
      <c r="N16" s="14"/>
    </row>
    <row r="17" spans="1:15" ht="13.5" thickBot="1">
      <c r="A17" s="6"/>
      <c r="B17" s="7"/>
      <c r="C17" s="7"/>
      <c r="D17" s="7"/>
      <c r="E17" s="7"/>
      <c r="F17" s="7"/>
      <c r="G17" s="7"/>
      <c r="H17" s="7"/>
      <c r="I17" s="9"/>
      <c r="K17" s="35">
        <v>8</v>
      </c>
      <c r="L17" s="36">
        <v>92268</v>
      </c>
      <c r="M17" s="16"/>
      <c r="N17" s="14"/>
    </row>
    <row r="18" spans="1:15" ht="13.5" thickBot="1">
      <c r="A18" s="22" t="s">
        <v>72</v>
      </c>
      <c r="B18" s="7"/>
      <c r="C18" s="7"/>
      <c r="D18" s="7"/>
      <c r="E18" s="7"/>
      <c r="F18" s="7"/>
      <c r="G18" s="7"/>
      <c r="H18" s="7"/>
      <c r="I18" s="9"/>
      <c r="M18" s="5"/>
      <c r="N18" s="5"/>
    </row>
    <row r="19" spans="1:15" ht="13.5" thickBot="1">
      <c r="A19" s="6"/>
      <c r="B19" s="7" t="s">
        <v>14</v>
      </c>
      <c r="C19" s="7"/>
      <c r="D19" s="7"/>
      <c r="E19" s="32">
        <v>2</v>
      </c>
      <c r="F19" s="7" t="s">
        <v>10</v>
      </c>
      <c r="G19" s="7"/>
      <c r="H19" s="7"/>
      <c r="I19" s="40">
        <f>E19*480</f>
        <v>960</v>
      </c>
      <c r="M19" s="5"/>
      <c r="N19" s="5"/>
    </row>
    <row r="20" spans="1:15" ht="13.5" thickBot="1">
      <c r="A20" s="6"/>
      <c r="B20" s="7" t="s">
        <v>5</v>
      </c>
      <c r="C20" s="7"/>
      <c r="D20" s="7"/>
      <c r="E20" s="7"/>
      <c r="F20" s="7"/>
      <c r="G20" s="7"/>
      <c r="H20" s="7"/>
      <c r="I20" s="40"/>
      <c r="M20" s="5"/>
      <c r="N20" s="1"/>
      <c r="O20" s="1"/>
    </row>
    <row r="21" spans="1:15" ht="13.5" thickBot="1">
      <c r="A21" s="6"/>
      <c r="B21" s="7" t="s">
        <v>66</v>
      </c>
      <c r="C21" s="7"/>
      <c r="D21" s="7"/>
      <c r="E21" s="7"/>
      <c r="F21" s="7"/>
      <c r="G21" s="51"/>
      <c r="H21" s="7"/>
      <c r="I21" s="40"/>
      <c r="M21" s="5"/>
      <c r="N21" s="1"/>
      <c r="O21" s="1"/>
    </row>
    <row r="22" spans="1:15" ht="13.5" thickBot="1">
      <c r="A22" s="6"/>
      <c r="B22" s="7" t="s">
        <v>62</v>
      </c>
      <c r="C22" s="7"/>
      <c r="D22" s="7"/>
      <c r="E22" s="7"/>
      <c r="F22" s="7"/>
      <c r="G22" s="7"/>
      <c r="H22" s="7"/>
      <c r="I22" s="41"/>
      <c r="M22" s="5"/>
      <c r="N22" s="1"/>
      <c r="O22" s="1"/>
    </row>
    <row r="23" spans="1:15" ht="14.25" thickTop="1" thickBot="1">
      <c r="A23" s="6"/>
      <c r="B23" s="7"/>
      <c r="C23" s="7"/>
      <c r="D23" s="7"/>
      <c r="E23" s="7"/>
      <c r="F23" s="7"/>
      <c r="G23" s="15" t="s">
        <v>9</v>
      </c>
      <c r="H23" s="7"/>
      <c r="I23" s="39">
        <f>SUM(I19:I22)</f>
        <v>960</v>
      </c>
      <c r="M23" s="19"/>
      <c r="N23" s="1"/>
      <c r="O23" s="1"/>
    </row>
    <row r="24" spans="1:15" ht="13.5" thickBot="1">
      <c r="A24" s="6" t="s">
        <v>51</v>
      </c>
      <c r="B24" s="15"/>
      <c r="C24" s="7"/>
      <c r="D24" s="7"/>
      <c r="E24" s="7"/>
      <c r="F24" s="7"/>
      <c r="G24" s="7"/>
      <c r="H24" s="7"/>
      <c r="I24" s="20"/>
      <c r="M24" s="19"/>
      <c r="N24" s="1"/>
      <c r="O24" s="1"/>
    </row>
    <row r="25" spans="1:15" ht="13.5" thickBot="1">
      <c r="A25" s="6"/>
      <c r="B25" s="23" t="s">
        <v>71</v>
      </c>
      <c r="C25" s="7"/>
      <c r="D25" s="7"/>
      <c r="E25" s="7"/>
      <c r="F25" s="7"/>
      <c r="G25" s="7"/>
      <c r="H25" s="7"/>
      <c r="I25" s="42">
        <f>I14-I23</f>
        <v>4776</v>
      </c>
      <c r="M25" s="19"/>
      <c r="N25" s="1"/>
      <c r="O25" s="1"/>
    </row>
    <row r="26" spans="1:15" ht="13.5" thickBot="1">
      <c r="A26" s="6"/>
      <c r="B26" s="23" t="s">
        <v>73</v>
      </c>
      <c r="C26" s="7"/>
      <c r="D26" s="7"/>
      <c r="E26" s="7"/>
      <c r="F26" s="7"/>
      <c r="G26" s="7"/>
      <c r="H26" s="7"/>
      <c r="I26" s="42">
        <f>I25/12</f>
        <v>398</v>
      </c>
      <c r="M26" s="19"/>
      <c r="N26" s="1"/>
      <c r="O26" s="1"/>
    </row>
    <row r="27" spans="1:15" ht="13.5" thickBot="1">
      <c r="A27" s="6"/>
      <c r="B27" s="23" t="s">
        <v>75</v>
      </c>
      <c r="C27" s="10"/>
      <c r="D27" s="10"/>
      <c r="E27" s="10"/>
      <c r="F27" s="10"/>
      <c r="G27" s="10"/>
      <c r="H27" s="10"/>
      <c r="I27" s="52">
        <f>SUM(I26*0.7)</f>
        <v>278.59999999999997</v>
      </c>
      <c r="K27" s="8"/>
      <c r="L27" s="21"/>
      <c r="M27" s="5"/>
      <c r="N27" s="1"/>
      <c r="O27" s="1"/>
    </row>
    <row r="28" spans="1:15" ht="13.5" thickBot="1">
      <c r="A28" s="6"/>
      <c r="B28" s="7"/>
      <c r="C28" s="7"/>
      <c r="D28" s="7"/>
      <c r="E28" s="7"/>
      <c r="F28" s="7"/>
      <c r="G28" s="7"/>
      <c r="H28" s="7"/>
      <c r="I28" s="9"/>
      <c r="K28" s="8"/>
      <c r="L28" s="21"/>
      <c r="M28" s="5"/>
      <c r="N28" s="1"/>
      <c r="O28" s="1"/>
    </row>
    <row r="29" spans="1:15" ht="13.5" thickBot="1">
      <c r="A29" s="22" t="s">
        <v>53</v>
      </c>
      <c r="B29" s="7"/>
      <c r="C29" s="7"/>
      <c r="D29" s="7"/>
      <c r="E29" s="7"/>
      <c r="F29" s="7"/>
      <c r="G29" s="7"/>
      <c r="H29" s="7"/>
      <c r="I29" s="9"/>
      <c r="K29" s="315" t="s">
        <v>57</v>
      </c>
      <c r="L29" s="316"/>
      <c r="M29" s="5"/>
      <c r="N29" s="1"/>
      <c r="O29" s="1"/>
    </row>
    <row r="30" spans="1:15" ht="13.5" thickBot="1">
      <c r="A30" s="6"/>
      <c r="B30" s="15" t="s">
        <v>20</v>
      </c>
      <c r="C30" s="15"/>
      <c r="D30" s="15"/>
      <c r="E30" s="15"/>
      <c r="F30" s="15"/>
      <c r="G30" s="15"/>
      <c r="H30" s="15"/>
      <c r="I30" s="52">
        <f>I27</f>
        <v>278.59999999999997</v>
      </c>
      <c r="K30" s="13" t="s">
        <v>25</v>
      </c>
      <c r="L30" s="18" t="s">
        <v>46</v>
      </c>
      <c r="M30" s="5"/>
      <c r="N30" s="5"/>
    </row>
    <row r="31" spans="1:15">
      <c r="A31" s="6"/>
      <c r="B31" s="15"/>
      <c r="C31" s="15"/>
      <c r="D31" s="15"/>
      <c r="E31" s="15"/>
      <c r="F31" s="15"/>
      <c r="G31" s="15"/>
      <c r="H31" s="15"/>
      <c r="I31" s="20"/>
      <c r="K31" s="33">
        <v>0</v>
      </c>
      <c r="L31" s="34">
        <v>604</v>
      </c>
      <c r="M31" s="5"/>
      <c r="N31" s="5"/>
    </row>
    <row r="32" spans="1:15" ht="13.5" thickBot="1">
      <c r="A32" s="6" t="s">
        <v>63</v>
      </c>
      <c r="B32" s="7"/>
      <c r="C32" s="7"/>
      <c r="D32" s="7"/>
      <c r="E32" s="7"/>
      <c r="F32" s="7"/>
      <c r="G32" s="7"/>
      <c r="H32" s="7"/>
      <c r="I32" s="9"/>
      <c r="K32" s="33">
        <v>1</v>
      </c>
      <c r="L32" s="34">
        <v>699</v>
      </c>
      <c r="M32" s="5"/>
      <c r="N32" s="5"/>
    </row>
    <row r="33" spans="1:14" ht="13.5" thickBot="1">
      <c r="A33" s="6"/>
      <c r="B33" s="7" t="s">
        <v>6</v>
      </c>
      <c r="C33" s="7"/>
      <c r="D33" s="7"/>
      <c r="E33" s="7"/>
      <c r="F33" s="7"/>
      <c r="G33" s="7"/>
      <c r="H33" s="7"/>
      <c r="I33" s="54">
        <v>841</v>
      </c>
      <c r="K33" s="33">
        <v>2</v>
      </c>
      <c r="L33" s="34">
        <v>910</v>
      </c>
      <c r="M33" s="5"/>
      <c r="N33" s="5"/>
    </row>
    <row r="34" spans="1:14" ht="13.5" thickBot="1">
      <c r="A34" s="6"/>
      <c r="B34" s="10" t="s">
        <v>19</v>
      </c>
      <c r="C34" s="7"/>
      <c r="D34" s="7"/>
      <c r="E34" s="7"/>
      <c r="F34" s="7"/>
      <c r="G34" s="7"/>
      <c r="H34" s="7"/>
      <c r="I34" s="56">
        <v>0</v>
      </c>
      <c r="J34" s="5"/>
      <c r="K34" s="33">
        <v>3</v>
      </c>
      <c r="L34" s="34">
        <v>1326</v>
      </c>
      <c r="M34" s="5"/>
      <c r="N34" s="5"/>
    </row>
    <row r="35" spans="1:14" ht="13.5" thickBot="1">
      <c r="A35" s="6"/>
      <c r="B35" s="10" t="s">
        <v>7</v>
      </c>
      <c r="C35" s="7"/>
      <c r="D35" s="7"/>
      <c r="E35" s="7"/>
      <c r="F35" s="7"/>
      <c r="G35" s="7"/>
      <c r="H35" s="7"/>
      <c r="I35" s="55">
        <f>I33+I34</f>
        <v>841</v>
      </c>
      <c r="J35" s="5"/>
      <c r="K35" s="35">
        <v>4</v>
      </c>
      <c r="L35" s="36">
        <v>1589</v>
      </c>
      <c r="M35" s="4"/>
      <c r="N35" s="4"/>
    </row>
    <row r="36" spans="1:14" ht="13.5" thickBot="1">
      <c r="A36" s="6"/>
      <c r="B36" s="7" t="s">
        <v>12</v>
      </c>
      <c r="C36" s="42">
        <f>I35</f>
        <v>841</v>
      </c>
      <c r="D36" s="317" t="s">
        <v>11</v>
      </c>
      <c r="E36" s="318"/>
      <c r="F36" s="319"/>
      <c r="G36" s="42">
        <f>VLOOKUP(C6,K31:L35,2,FALSE)</f>
        <v>910</v>
      </c>
      <c r="I36" s="26"/>
      <c r="J36" s="5"/>
      <c r="M36" s="4"/>
      <c r="N36" s="4"/>
    </row>
    <row r="37" spans="1:14">
      <c r="A37" s="6"/>
      <c r="B37" s="27" t="s">
        <v>56</v>
      </c>
      <c r="C37" s="27"/>
      <c r="D37" s="27"/>
      <c r="E37" s="27"/>
      <c r="F37" s="27"/>
      <c r="G37" s="27"/>
      <c r="H37" s="7"/>
      <c r="I37" s="9"/>
      <c r="J37" s="5"/>
      <c r="M37" s="4"/>
      <c r="N37" s="4"/>
    </row>
    <row r="38" spans="1:14" ht="9.6" customHeight="1">
      <c r="A38" s="6"/>
      <c r="B38" s="7"/>
      <c r="C38" s="7"/>
      <c r="D38" s="7"/>
      <c r="E38" s="7"/>
      <c r="F38" s="7"/>
      <c r="G38" s="7"/>
      <c r="H38" s="7"/>
      <c r="I38" s="20"/>
      <c r="M38" s="5"/>
      <c r="N38" s="5"/>
    </row>
    <row r="39" spans="1:14" ht="13.5" thickBot="1">
      <c r="A39" s="22" t="s">
        <v>64</v>
      </c>
      <c r="B39" s="7"/>
      <c r="C39" s="7"/>
      <c r="D39" s="7"/>
      <c r="E39" s="7"/>
      <c r="F39" s="7"/>
      <c r="G39" s="7"/>
      <c r="H39" s="7"/>
      <c r="I39" s="9"/>
      <c r="M39" s="5"/>
      <c r="N39" s="5"/>
    </row>
    <row r="40" spans="1:14">
      <c r="A40" s="6"/>
      <c r="B40" s="7" t="s">
        <v>6</v>
      </c>
      <c r="C40" s="7"/>
      <c r="D40" s="7"/>
      <c r="E40" s="7"/>
      <c r="F40" s="7"/>
      <c r="G40" s="7"/>
      <c r="H40" s="7"/>
      <c r="I40" s="57">
        <f>I33</f>
        <v>841</v>
      </c>
      <c r="M40" s="5"/>
      <c r="N40" s="5"/>
    </row>
    <row r="41" spans="1:14">
      <c r="A41" s="6"/>
      <c r="B41" s="23" t="s">
        <v>54</v>
      </c>
      <c r="C41" s="7"/>
      <c r="D41" s="7"/>
      <c r="E41" s="7"/>
      <c r="F41" s="7"/>
      <c r="G41" s="7"/>
      <c r="H41" s="7"/>
      <c r="I41" s="58">
        <f>I30-I34</f>
        <v>278.59999999999997</v>
      </c>
      <c r="M41" s="5"/>
      <c r="N41" s="5"/>
    </row>
    <row r="42" spans="1:14" ht="13.5" thickBot="1">
      <c r="A42" s="6"/>
      <c r="B42" s="15" t="s">
        <v>0</v>
      </c>
      <c r="C42" s="7"/>
      <c r="D42" s="7"/>
      <c r="E42" s="7"/>
      <c r="F42" s="7"/>
      <c r="G42" s="7"/>
      <c r="H42" s="7"/>
      <c r="I42" s="53">
        <f>I40-I41</f>
        <v>562.40000000000009</v>
      </c>
      <c r="M42" s="5"/>
      <c r="N42" s="5"/>
    </row>
    <row r="43" spans="1:14">
      <c r="A43" s="6"/>
      <c r="B43" s="27"/>
      <c r="C43" s="27"/>
      <c r="D43" s="27"/>
      <c r="E43" s="27"/>
      <c r="F43" s="27"/>
      <c r="G43" s="27"/>
      <c r="H43" s="7"/>
      <c r="I43" s="9"/>
      <c r="J43" s="5"/>
      <c r="M43" s="4"/>
      <c r="N43" s="4"/>
    </row>
    <row r="44" spans="1:14">
      <c r="A44" s="28" t="s">
        <v>45</v>
      </c>
      <c r="B44" s="27"/>
      <c r="C44" s="27"/>
      <c r="D44" s="27"/>
      <c r="E44" s="27"/>
      <c r="F44" s="27"/>
      <c r="G44" s="27"/>
      <c r="H44" s="7"/>
      <c r="I44" s="9"/>
      <c r="J44" s="5"/>
      <c r="M44" s="4"/>
      <c r="N44" s="4"/>
    </row>
    <row r="45" spans="1:14" ht="5.0999999999999996" customHeight="1" thickBot="1">
      <c r="A45" s="28"/>
      <c r="B45" s="27"/>
      <c r="C45" s="27"/>
      <c r="D45" s="27"/>
      <c r="E45" s="27"/>
      <c r="F45" s="27"/>
      <c r="G45" s="27"/>
      <c r="H45" s="7"/>
      <c r="I45" s="9"/>
      <c r="J45" s="5"/>
      <c r="M45" s="4"/>
      <c r="N45" s="4"/>
    </row>
    <row r="46" spans="1:14" s="29" customFormat="1" ht="13.5" thickBot="1">
      <c r="A46" s="28"/>
      <c r="B46" s="15" t="s">
        <v>49</v>
      </c>
      <c r="C46" s="15"/>
      <c r="D46" s="15"/>
      <c r="E46" s="15"/>
      <c r="F46" s="15"/>
      <c r="G46" s="43" t="s">
        <v>47</v>
      </c>
      <c r="H46" s="15"/>
      <c r="I46" s="20"/>
    </row>
    <row r="47" spans="1:14" ht="4.5" customHeight="1" thickBot="1">
      <c r="A47" s="6"/>
      <c r="B47" s="27"/>
      <c r="C47" s="27"/>
      <c r="D47" s="27"/>
      <c r="E47" s="27"/>
      <c r="F47" s="27"/>
      <c r="G47" s="27"/>
      <c r="H47" s="7"/>
      <c r="I47" s="9"/>
      <c r="J47" s="5"/>
      <c r="M47" s="4"/>
      <c r="N47" s="4"/>
    </row>
    <row r="48" spans="1:14" ht="13.5" thickBot="1">
      <c r="A48" s="6"/>
      <c r="B48" s="15" t="s">
        <v>50</v>
      </c>
      <c r="C48" s="10"/>
      <c r="D48" s="10" t="s">
        <v>31</v>
      </c>
      <c r="E48" s="44" t="s">
        <v>36</v>
      </c>
      <c r="F48" s="10" t="s">
        <v>32</v>
      </c>
      <c r="G48" s="45">
        <v>23</v>
      </c>
      <c r="H48" s="61" t="s">
        <v>44</v>
      </c>
      <c r="I48" s="62">
        <f>1-((G48-1)/(VLOOKUP(E48,A66:B77,2,FALSE)))</f>
        <v>0.26666666666666672</v>
      </c>
      <c r="J48" s="5"/>
      <c r="M48" s="4"/>
      <c r="N48" s="4"/>
    </row>
    <row r="49" spans="1:14" ht="6.6" customHeight="1">
      <c r="A49" s="6"/>
      <c r="B49" s="27"/>
      <c r="C49" s="27"/>
      <c r="D49" s="27"/>
      <c r="E49" s="27"/>
      <c r="F49" s="27"/>
      <c r="G49" s="27"/>
      <c r="H49" s="7"/>
      <c r="I49" s="9"/>
      <c r="J49" s="5"/>
      <c r="M49" s="4"/>
      <c r="N49" s="4"/>
    </row>
    <row r="50" spans="1:14" ht="13.5" thickBot="1">
      <c r="A50" s="28" t="s">
        <v>30</v>
      </c>
      <c r="B50" s="15"/>
      <c r="C50" s="15"/>
      <c r="D50" s="15"/>
      <c r="E50" s="7"/>
      <c r="F50" s="7"/>
      <c r="G50" s="7"/>
      <c r="H50" s="7"/>
      <c r="I50" s="9"/>
      <c r="J50" s="5"/>
      <c r="M50" s="4"/>
      <c r="N50" s="4"/>
    </row>
    <row r="51" spans="1:14" ht="13.5" thickBot="1">
      <c r="A51" s="28"/>
      <c r="B51" s="15" t="s">
        <v>52</v>
      </c>
      <c r="C51" s="15"/>
      <c r="D51" s="15"/>
      <c r="E51" s="7"/>
      <c r="F51" s="7"/>
      <c r="G51" s="7"/>
      <c r="H51" s="7"/>
      <c r="I51" s="49">
        <f>(IF(G46="Yes",I48*I41,I41))</f>
        <v>74.293333333333337</v>
      </c>
      <c r="J51" s="5"/>
      <c r="M51" s="4"/>
      <c r="N51" s="4"/>
    </row>
    <row r="52" spans="1:14" ht="13.5" thickBot="1">
      <c r="A52" s="28"/>
      <c r="B52" s="15" t="s">
        <v>13</v>
      </c>
      <c r="C52" s="15"/>
      <c r="D52" s="15"/>
      <c r="E52" s="7"/>
      <c r="F52" s="7"/>
      <c r="G52" s="7"/>
      <c r="H52" s="7"/>
      <c r="I52" s="49">
        <f>(IF(G46="Yes",(I48)*I42,I42))</f>
        <v>149.97333333333339</v>
      </c>
      <c r="J52" s="5"/>
      <c r="K52" s="24"/>
      <c r="L52" s="24"/>
      <c r="M52" s="5"/>
      <c r="N52" s="25">
        <v>13</v>
      </c>
    </row>
    <row r="53" spans="1:14" ht="13.5" thickBot="1">
      <c r="A53" s="28"/>
      <c r="B53" s="15" t="s">
        <v>1</v>
      </c>
      <c r="C53" s="15"/>
      <c r="D53" s="15"/>
      <c r="E53" s="7"/>
      <c r="F53" s="7"/>
      <c r="G53" s="7"/>
      <c r="H53" s="7"/>
      <c r="I53" s="59"/>
      <c r="J53" s="5"/>
      <c r="K53" s="24"/>
      <c r="L53" s="24"/>
      <c r="M53" s="5"/>
      <c r="N53" s="25">
        <v>14</v>
      </c>
    </row>
    <row r="54" spans="1:14" ht="13.5" thickBot="1">
      <c r="A54" s="28"/>
      <c r="B54" s="15" t="s">
        <v>2</v>
      </c>
      <c r="C54" s="15"/>
      <c r="D54" s="15"/>
      <c r="E54" s="7"/>
      <c r="F54" s="7"/>
      <c r="G54" s="7"/>
      <c r="H54" s="7"/>
      <c r="I54" s="59"/>
      <c r="J54" s="5"/>
      <c r="K54" s="24"/>
      <c r="L54" s="24"/>
      <c r="M54" s="4"/>
      <c r="N54" s="4"/>
    </row>
    <row r="55" spans="1:14" ht="13.5" thickBot="1">
      <c r="A55" s="28"/>
      <c r="B55" s="15" t="s">
        <v>3</v>
      </c>
      <c r="C55" s="15"/>
      <c r="D55" s="15"/>
      <c r="E55" s="7"/>
      <c r="F55" s="7"/>
      <c r="G55" s="7"/>
      <c r="H55" s="7"/>
      <c r="I55" s="59"/>
      <c r="J55" s="5"/>
      <c r="M55" s="4"/>
      <c r="N55" s="4"/>
    </row>
    <row r="56" spans="1:14" ht="13.5" thickBot="1">
      <c r="A56" s="28"/>
      <c r="B56" s="15" t="s">
        <v>68</v>
      </c>
      <c r="C56" s="15"/>
      <c r="D56" s="320"/>
      <c r="E56" s="321"/>
      <c r="F56" s="321"/>
      <c r="G56" s="322"/>
      <c r="H56" s="7"/>
      <c r="I56" s="59"/>
      <c r="J56" s="5"/>
      <c r="M56" s="4"/>
      <c r="N56" s="4"/>
    </row>
    <row r="57" spans="1:14" ht="13.5" thickBot="1">
      <c r="A57" s="6"/>
      <c r="B57" s="15" t="s">
        <v>67</v>
      </c>
      <c r="C57" s="7"/>
      <c r="D57" s="7"/>
      <c r="E57" s="7"/>
      <c r="F57" s="7"/>
      <c r="G57" s="7"/>
      <c r="H57" s="7"/>
      <c r="I57" s="59"/>
      <c r="J57" s="5"/>
      <c r="M57" s="4"/>
      <c r="N57" s="4"/>
    </row>
    <row r="58" spans="1:14" ht="15.6" customHeight="1" thickBot="1">
      <c r="A58" s="6"/>
      <c r="B58" s="7"/>
      <c r="C58" s="7"/>
      <c r="D58" s="7"/>
      <c r="E58" s="7"/>
      <c r="F58" s="7"/>
      <c r="G58" s="7"/>
      <c r="H58" s="7"/>
      <c r="I58" s="60"/>
      <c r="J58" s="5"/>
      <c r="M58" s="4"/>
      <c r="N58" s="4"/>
    </row>
    <row r="59" spans="1:14" ht="10.5" customHeight="1" thickBot="1">
      <c r="A59" s="6"/>
      <c r="B59" s="7"/>
      <c r="C59" s="7"/>
      <c r="D59" s="7"/>
      <c r="E59" s="7"/>
      <c r="F59" s="7"/>
      <c r="G59" s="7"/>
      <c r="H59" s="7"/>
      <c r="I59" s="20"/>
      <c r="J59" s="5"/>
      <c r="M59" s="4"/>
      <c r="N59" s="4"/>
    </row>
    <row r="60" spans="1:14" ht="17.100000000000001" customHeight="1" thickBot="1">
      <c r="A60" s="46" t="s">
        <v>69</v>
      </c>
      <c r="B60" s="309"/>
      <c r="C60" s="310"/>
      <c r="D60" s="310"/>
      <c r="E60" s="310"/>
      <c r="F60" s="311"/>
      <c r="G60" s="47" t="s">
        <v>70</v>
      </c>
      <c r="H60" s="309"/>
      <c r="I60" s="311"/>
      <c r="J60" s="23"/>
      <c r="M60" s="4"/>
      <c r="N60" s="4"/>
    </row>
    <row r="61" spans="1:14">
      <c r="J61" s="5"/>
      <c r="M61" s="4"/>
      <c r="N61" s="4"/>
    </row>
    <row r="62" spans="1:14">
      <c r="A62" s="24" t="s">
        <v>47</v>
      </c>
      <c r="B62" s="24"/>
      <c r="M62" s="4"/>
      <c r="N62" s="4"/>
    </row>
    <row r="63" spans="1:14">
      <c r="A63" s="24" t="s">
        <v>48</v>
      </c>
      <c r="B63" s="24"/>
      <c r="M63" s="4"/>
      <c r="N63" s="4"/>
    </row>
    <row r="64" spans="1:14">
      <c r="A64" s="5"/>
      <c r="B64" s="5"/>
      <c r="M64" s="4"/>
      <c r="N64" s="4"/>
    </row>
    <row r="65" spans="1:14">
      <c r="A65" s="5"/>
      <c r="B65" s="5"/>
      <c r="M65" s="4"/>
      <c r="N65" s="4"/>
    </row>
    <row r="66" spans="1:14">
      <c r="A66" s="24" t="s">
        <v>33</v>
      </c>
      <c r="B66" s="24">
        <v>31</v>
      </c>
      <c r="M66" s="4"/>
      <c r="N66" s="4"/>
    </row>
    <row r="67" spans="1:14">
      <c r="A67" s="24" t="s">
        <v>34</v>
      </c>
      <c r="B67" s="24">
        <v>28</v>
      </c>
      <c r="M67" s="25"/>
      <c r="N67" s="25">
        <v>27</v>
      </c>
    </row>
    <row r="68" spans="1:14">
      <c r="A68" s="24" t="s">
        <v>35</v>
      </c>
      <c r="B68" s="24">
        <v>31</v>
      </c>
      <c r="M68" s="25"/>
      <c r="N68" s="25">
        <v>28</v>
      </c>
    </row>
    <row r="69" spans="1:14">
      <c r="A69" s="24" t="s">
        <v>36</v>
      </c>
      <c r="B69" s="24">
        <v>30</v>
      </c>
      <c r="M69" s="25"/>
      <c r="N69" s="25">
        <v>29</v>
      </c>
    </row>
    <row r="70" spans="1:14">
      <c r="A70" s="24" t="s">
        <v>37</v>
      </c>
      <c r="B70" s="24">
        <v>31</v>
      </c>
      <c r="M70" s="25"/>
      <c r="N70" s="25">
        <v>30</v>
      </c>
    </row>
    <row r="71" spans="1:14">
      <c r="A71" s="24" t="s">
        <v>38</v>
      </c>
      <c r="B71" s="24">
        <v>30</v>
      </c>
      <c r="M71" s="25"/>
      <c r="N71" s="25">
        <v>31</v>
      </c>
    </row>
    <row r="72" spans="1:14">
      <c r="A72" s="24" t="s">
        <v>39</v>
      </c>
      <c r="B72" s="24">
        <v>31</v>
      </c>
      <c r="K72" s="25"/>
      <c r="L72" s="25"/>
      <c r="M72" s="25"/>
      <c r="N72" s="25"/>
    </row>
    <row r="73" spans="1:14">
      <c r="A73" s="24" t="s">
        <v>40</v>
      </c>
      <c r="B73" s="24">
        <v>31</v>
      </c>
      <c r="K73" s="25"/>
      <c r="L73" s="25"/>
      <c r="M73" s="25"/>
      <c r="N73" s="25"/>
    </row>
    <row r="74" spans="1:14">
      <c r="A74" s="24" t="s">
        <v>41</v>
      </c>
      <c r="B74" s="24">
        <v>30</v>
      </c>
      <c r="K74" s="25"/>
      <c r="L74" s="25"/>
      <c r="M74" s="25"/>
      <c r="N74" s="25"/>
    </row>
    <row r="75" spans="1:14">
      <c r="A75" s="24" t="s">
        <v>42</v>
      </c>
      <c r="B75" s="24">
        <v>31</v>
      </c>
      <c r="K75" s="25"/>
      <c r="L75" s="25"/>
      <c r="M75" s="25"/>
      <c r="N75" s="25"/>
    </row>
    <row r="76" spans="1:14">
      <c r="A76" s="24" t="s">
        <v>55</v>
      </c>
      <c r="B76" s="24">
        <v>30</v>
      </c>
      <c r="K76" s="25"/>
      <c r="L76" s="25"/>
      <c r="M76" s="25"/>
      <c r="N76" s="25"/>
    </row>
    <row r="77" spans="1:14">
      <c r="A77" s="24" t="s">
        <v>43</v>
      </c>
      <c r="B77" s="24">
        <v>31</v>
      </c>
      <c r="K77" s="25"/>
      <c r="L77" s="25"/>
      <c r="M77" s="25"/>
      <c r="N77" s="25"/>
    </row>
  </sheetData>
  <sheetProtection insertRows="0"/>
  <mergeCells count="8">
    <mergeCell ref="B60:F60"/>
    <mergeCell ref="H60:I60"/>
    <mergeCell ref="A1:I1"/>
    <mergeCell ref="C3:F3"/>
    <mergeCell ref="K8:L8"/>
    <mergeCell ref="K29:L29"/>
    <mergeCell ref="D36:F36"/>
    <mergeCell ref="D56:G56"/>
  </mergeCells>
  <dataValidations count="3">
    <dataValidation type="list" allowBlank="1" showInputMessage="1" showErrorMessage="1" sqref="G48">
      <formula1>$N$52:$N$71</formula1>
    </dataValidation>
    <dataValidation type="list" allowBlank="1" showInputMessage="1" showErrorMessage="1" sqref="G46">
      <formula1>$A$62:$A$63</formula1>
    </dataValidation>
    <dataValidation type="list" allowBlank="1" showInputMessage="1" showErrorMessage="1" sqref="E48">
      <formula1>$A$66:$A$77</formula1>
    </dataValidation>
  </dataValidations>
  <pageMargins left="0.7" right="0.7" top="0.75" bottom="0.75" header="0.3" footer="0.3"/>
  <pageSetup scale="89" orientation="portrait" r:id="rId1"/>
  <headerFooter alignWithMargins="0">
    <oddHeader xml:space="preserve">&amp;C&amp;14RENT ASSISTANCE CALCULATION </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7"/>
  <sheetViews>
    <sheetView topLeftCell="A13" zoomScaleNormal="100" workbookViewId="0">
      <selection activeCell="B28" sqref="B28"/>
    </sheetView>
  </sheetViews>
  <sheetFormatPr defaultColWidth="9.140625" defaultRowHeight="12.75"/>
  <cols>
    <col min="1" max="1" width="12.140625" style="4" customWidth="1"/>
    <col min="2" max="2" width="15.140625" style="4" customWidth="1"/>
    <col min="3" max="3" width="11.28515625" style="4" customWidth="1"/>
    <col min="4" max="5" width="9.140625" style="4"/>
    <col min="6" max="6" width="10.5703125" style="4" customWidth="1"/>
    <col min="7" max="8" width="9.140625" style="4"/>
    <col min="9" max="9" width="10.7109375" style="30" customWidth="1"/>
    <col min="10" max="10" width="9.140625" style="4"/>
    <col min="11" max="11" width="13.85546875" style="4" customWidth="1"/>
    <col min="12" max="12" width="19.140625" style="4" customWidth="1"/>
    <col min="13" max="14" width="9.140625" style="31"/>
    <col min="15" max="16384" width="9.140625" style="4"/>
  </cols>
  <sheetData>
    <row r="1" spans="1:14" ht="23.25" customHeight="1" thickBot="1">
      <c r="A1" s="312" t="s">
        <v>61</v>
      </c>
      <c r="B1" s="313"/>
      <c r="C1" s="313"/>
      <c r="D1" s="313"/>
      <c r="E1" s="313"/>
      <c r="F1" s="313"/>
      <c r="G1" s="313"/>
      <c r="H1" s="313"/>
      <c r="I1" s="314"/>
      <c r="M1" s="5"/>
      <c r="N1" s="5"/>
    </row>
    <row r="2" spans="1:14" ht="13.5" thickBot="1">
      <c r="A2" s="6"/>
      <c r="B2" s="7"/>
      <c r="C2" s="7"/>
      <c r="D2" s="7"/>
      <c r="E2" s="8"/>
      <c r="F2" s="7"/>
      <c r="G2" s="7"/>
      <c r="H2" s="7"/>
      <c r="I2" s="9"/>
      <c r="M2" s="5"/>
      <c r="N2" s="5"/>
    </row>
    <row r="3" spans="1:14" ht="13.5" thickBot="1">
      <c r="A3" s="6" t="s">
        <v>65</v>
      </c>
      <c r="B3" s="7"/>
      <c r="C3" s="309" t="s">
        <v>58</v>
      </c>
      <c r="D3" s="310"/>
      <c r="E3" s="310"/>
      <c r="F3" s="311"/>
      <c r="G3" s="7"/>
      <c r="H3" s="7"/>
      <c r="I3" s="9"/>
      <c r="M3" s="5"/>
      <c r="N3" s="5"/>
    </row>
    <row r="4" spans="1:14" ht="13.5" thickBot="1">
      <c r="A4" s="6"/>
      <c r="B4" s="7"/>
      <c r="C4" s="7"/>
      <c r="D4" s="7"/>
      <c r="E4" s="7"/>
      <c r="F4" s="7"/>
      <c r="G4" s="7"/>
      <c r="H4" s="7"/>
      <c r="I4" s="9"/>
      <c r="M4" s="5"/>
      <c r="N4" s="5"/>
    </row>
    <row r="5" spans="1:14" ht="13.5" thickBot="1">
      <c r="A5" s="6" t="s">
        <v>26</v>
      </c>
      <c r="B5" s="7"/>
      <c r="C5" s="32">
        <v>3</v>
      </c>
      <c r="D5" s="7" t="s">
        <v>21</v>
      </c>
      <c r="E5" s="7"/>
      <c r="F5" s="7"/>
      <c r="G5" s="7"/>
      <c r="H5" s="7"/>
      <c r="I5" s="9"/>
      <c r="M5" s="5"/>
      <c r="N5" s="5"/>
    </row>
    <row r="6" spans="1:14" ht="13.5" thickBot="1">
      <c r="A6" s="6" t="s">
        <v>27</v>
      </c>
      <c r="B6" s="7"/>
      <c r="C6" s="32">
        <v>2</v>
      </c>
      <c r="D6" s="7" t="s">
        <v>24</v>
      </c>
      <c r="E6" s="7"/>
      <c r="F6" s="7"/>
      <c r="G6" s="7"/>
      <c r="H6" s="7"/>
      <c r="I6" s="9"/>
      <c r="M6" s="5"/>
      <c r="N6" s="5"/>
    </row>
    <row r="7" spans="1:14" ht="13.5" thickBot="1">
      <c r="A7" s="6"/>
      <c r="B7" s="7"/>
      <c r="C7" s="7"/>
      <c r="D7" s="7"/>
      <c r="E7" s="7"/>
      <c r="F7" s="7"/>
      <c r="G7" s="7"/>
      <c r="H7" s="7"/>
      <c r="I7" s="9"/>
      <c r="M7" s="5"/>
      <c r="N7" s="5"/>
    </row>
    <row r="8" spans="1:14" ht="13.5" thickBot="1">
      <c r="A8" s="6" t="s">
        <v>28</v>
      </c>
      <c r="B8" s="7"/>
      <c r="C8" s="7"/>
      <c r="D8" s="7"/>
      <c r="E8" s="7"/>
      <c r="F8" s="7"/>
      <c r="G8" s="7"/>
      <c r="H8" s="7"/>
      <c r="I8" s="9"/>
      <c r="K8" s="315" t="s">
        <v>60</v>
      </c>
      <c r="L8" s="316"/>
      <c r="M8" s="5"/>
      <c r="N8" s="5"/>
    </row>
    <row r="9" spans="1:14" ht="13.5" thickBot="1">
      <c r="A9" s="6"/>
      <c r="B9" s="10" t="s">
        <v>18</v>
      </c>
      <c r="C9" s="7"/>
      <c r="D9" s="7" t="s">
        <v>17</v>
      </c>
      <c r="E9" s="7"/>
      <c r="F9" s="7"/>
      <c r="G9" s="7"/>
      <c r="H9" s="7"/>
      <c r="I9" s="9"/>
      <c r="K9" s="11" t="s">
        <v>22</v>
      </c>
      <c r="L9" s="12" t="s">
        <v>23</v>
      </c>
      <c r="M9" s="5"/>
      <c r="N9" s="5"/>
    </row>
    <row r="10" spans="1:14" ht="13.5" thickBot="1">
      <c r="A10" s="6">
        <v>1</v>
      </c>
      <c r="B10" s="32" t="s">
        <v>59</v>
      </c>
      <c r="C10" s="7"/>
      <c r="D10" s="38">
        <v>478</v>
      </c>
      <c r="E10" s="8" t="s">
        <v>8</v>
      </c>
      <c r="F10" s="50">
        <f>D10*12</f>
        <v>5736</v>
      </c>
      <c r="G10" s="7"/>
      <c r="H10" s="7"/>
      <c r="I10" s="9"/>
      <c r="K10" s="33">
        <v>1</v>
      </c>
      <c r="L10" s="34">
        <v>48930</v>
      </c>
      <c r="M10" s="5"/>
      <c r="N10" s="14"/>
    </row>
    <row r="11" spans="1:14" ht="13.5" thickBot="1">
      <c r="A11" s="6">
        <v>2</v>
      </c>
      <c r="B11" s="32"/>
      <c r="C11" s="7"/>
      <c r="D11" s="38"/>
      <c r="E11" s="8" t="s">
        <v>8</v>
      </c>
      <c r="F11" s="42">
        <f>D11*12</f>
        <v>0</v>
      </c>
      <c r="G11" s="7"/>
      <c r="H11" s="7"/>
      <c r="I11" s="9"/>
      <c r="K11" s="33">
        <v>2</v>
      </c>
      <c r="L11" s="34">
        <v>55920</v>
      </c>
      <c r="M11" s="5"/>
      <c r="N11" s="14"/>
    </row>
    <row r="12" spans="1:14" ht="13.5" thickBot="1">
      <c r="A12" s="6">
        <v>3</v>
      </c>
      <c r="B12" s="32"/>
      <c r="C12" s="7"/>
      <c r="D12" s="38"/>
      <c r="E12" s="8" t="s">
        <v>8</v>
      </c>
      <c r="F12" s="48">
        <f>D12*12</f>
        <v>0</v>
      </c>
      <c r="G12" s="7"/>
      <c r="H12" s="7"/>
      <c r="I12" s="9"/>
      <c r="K12" s="33">
        <v>3</v>
      </c>
      <c r="L12" s="34">
        <v>62910</v>
      </c>
      <c r="M12" s="5"/>
      <c r="N12" s="14"/>
    </row>
    <row r="13" spans="1:14" ht="13.5" thickBot="1">
      <c r="A13" s="6"/>
      <c r="B13" s="7"/>
      <c r="C13" s="7"/>
      <c r="D13" s="7"/>
      <c r="E13" s="15" t="s">
        <v>4</v>
      </c>
      <c r="F13" s="7"/>
      <c r="G13" s="7"/>
      <c r="H13" s="7"/>
      <c r="I13" s="9"/>
      <c r="K13" s="33">
        <v>4</v>
      </c>
      <c r="L13" s="34">
        <v>69900</v>
      </c>
      <c r="M13" s="5"/>
      <c r="N13" s="14"/>
    </row>
    <row r="14" spans="1:14" ht="13.5" thickBot="1">
      <c r="A14" s="6"/>
      <c r="B14" s="15"/>
      <c r="C14" s="7"/>
      <c r="D14" s="7"/>
      <c r="E14" s="7"/>
      <c r="F14" s="7"/>
      <c r="G14" s="7"/>
      <c r="H14" s="7"/>
      <c r="I14" s="49">
        <f>SUM(F10:F12)</f>
        <v>5736</v>
      </c>
      <c r="K14" s="33">
        <v>5</v>
      </c>
      <c r="L14" s="34">
        <v>75492</v>
      </c>
      <c r="M14" s="16"/>
      <c r="N14" s="14"/>
    </row>
    <row r="15" spans="1:14" ht="13.5" thickBot="1">
      <c r="A15" s="6" t="s">
        <v>29</v>
      </c>
      <c r="B15" s="7"/>
      <c r="C15" s="7"/>
      <c r="D15" s="7"/>
      <c r="E15" s="7"/>
      <c r="F15" s="7"/>
      <c r="G15" s="7"/>
      <c r="H15" s="7"/>
      <c r="I15" s="9"/>
      <c r="K15" s="33">
        <v>6</v>
      </c>
      <c r="L15" s="34">
        <v>81084</v>
      </c>
      <c r="M15" s="16"/>
      <c r="N15" s="14"/>
    </row>
    <row r="16" spans="1:14" ht="13.5" thickBot="1">
      <c r="A16" s="6" t="s">
        <v>15</v>
      </c>
      <c r="B16" s="7"/>
      <c r="C16" s="37">
        <f>I14/(VLOOKUP(C5,K10:L17,2,FALSE))</f>
        <v>9.1177873152122085E-2</v>
      </c>
      <c r="D16" s="17" t="s">
        <v>16</v>
      </c>
      <c r="E16" s="10"/>
      <c r="F16" s="7"/>
      <c r="G16" s="7"/>
      <c r="H16" s="7"/>
      <c r="I16" s="9"/>
      <c r="K16" s="33">
        <v>7</v>
      </c>
      <c r="L16" s="34">
        <v>86676</v>
      </c>
      <c r="M16" s="16"/>
      <c r="N16" s="14"/>
    </row>
    <row r="17" spans="1:15" ht="13.5" thickBot="1">
      <c r="A17" s="6"/>
      <c r="B17" s="7"/>
      <c r="C17" s="7"/>
      <c r="D17" s="7"/>
      <c r="E17" s="7"/>
      <c r="F17" s="7"/>
      <c r="G17" s="7"/>
      <c r="H17" s="7"/>
      <c r="I17" s="9"/>
      <c r="K17" s="35">
        <v>8</v>
      </c>
      <c r="L17" s="36">
        <v>92268</v>
      </c>
      <c r="M17" s="16"/>
      <c r="N17" s="14"/>
    </row>
    <row r="18" spans="1:15" ht="13.5" thickBot="1">
      <c r="A18" s="22" t="s">
        <v>72</v>
      </c>
      <c r="B18" s="7"/>
      <c r="C18" s="7"/>
      <c r="D18" s="7"/>
      <c r="E18" s="7"/>
      <c r="F18" s="7"/>
      <c r="G18" s="7"/>
      <c r="H18" s="7"/>
      <c r="I18" s="9"/>
      <c r="M18" s="5"/>
      <c r="N18" s="5"/>
    </row>
    <row r="19" spans="1:15" ht="13.5" thickBot="1">
      <c r="A19" s="6"/>
      <c r="B19" s="7" t="s">
        <v>14</v>
      </c>
      <c r="C19" s="7"/>
      <c r="D19" s="7"/>
      <c r="E19" s="32">
        <v>2</v>
      </c>
      <c r="F19" s="7" t="s">
        <v>10</v>
      </c>
      <c r="G19" s="7"/>
      <c r="H19" s="7"/>
      <c r="I19" s="40">
        <f>E19*480</f>
        <v>960</v>
      </c>
      <c r="M19" s="5"/>
      <c r="N19" s="5"/>
    </row>
    <row r="20" spans="1:15" ht="13.5" thickBot="1">
      <c r="A20" s="6"/>
      <c r="B20" s="7" t="s">
        <v>5</v>
      </c>
      <c r="C20" s="7"/>
      <c r="D20" s="7"/>
      <c r="E20" s="7"/>
      <c r="F20" s="7"/>
      <c r="G20" s="7"/>
      <c r="H20" s="7"/>
      <c r="I20" s="40"/>
      <c r="M20" s="5"/>
      <c r="N20" s="1"/>
      <c r="O20" s="1"/>
    </row>
    <row r="21" spans="1:15" ht="13.5" thickBot="1">
      <c r="A21" s="6"/>
      <c r="B21" s="7" t="s">
        <v>66</v>
      </c>
      <c r="C21" s="7"/>
      <c r="D21" s="7"/>
      <c r="E21" s="7"/>
      <c r="F21" s="7"/>
      <c r="G21" s="51"/>
      <c r="H21" s="7"/>
      <c r="I21" s="40"/>
      <c r="M21" s="5"/>
      <c r="N21" s="1"/>
      <c r="O21" s="1"/>
    </row>
    <row r="22" spans="1:15" ht="13.5" thickBot="1">
      <c r="A22" s="6"/>
      <c r="B22" s="7" t="s">
        <v>62</v>
      </c>
      <c r="C22" s="7"/>
      <c r="D22" s="7"/>
      <c r="E22" s="7"/>
      <c r="F22" s="7"/>
      <c r="G22" s="7"/>
      <c r="H22" s="7"/>
      <c r="I22" s="41"/>
      <c r="M22" s="5"/>
      <c r="N22" s="1"/>
      <c r="O22" s="1"/>
    </row>
    <row r="23" spans="1:15" ht="14.25" thickTop="1" thickBot="1">
      <c r="A23" s="6"/>
      <c r="B23" s="7"/>
      <c r="C23" s="7"/>
      <c r="D23" s="7"/>
      <c r="E23" s="7"/>
      <c r="F23" s="7"/>
      <c r="G23" s="15" t="s">
        <v>9</v>
      </c>
      <c r="H23" s="7"/>
      <c r="I23" s="39">
        <f>SUM(I19:I22)</f>
        <v>960</v>
      </c>
      <c r="M23" s="19"/>
      <c r="N23" s="1"/>
      <c r="O23" s="1"/>
    </row>
    <row r="24" spans="1:15" ht="13.5" thickBot="1">
      <c r="A24" s="6" t="s">
        <v>51</v>
      </c>
      <c r="B24" s="15"/>
      <c r="C24" s="7"/>
      <c r="D24" s="7"/>
      <c r="E24" s="7"/>
      <c r="F24" s="7"/>
      <c r="G24" s="7"/>
      <c r="H24" s="7"/>
      <c r="I24" s="20"/>
      <c r="M24" s="19"/>
      <c r="N24" s="1"/>
      <c r="O24" s="1"/>
    </row>
    <row r="25" spans="1:15" ht="13.5" thickBot="1">
      <c r="A25" s="6"/>
      <c r="B25" s="23" t="s">
        <v>71</v>
      </c>
      <c r="C25" s="7"/>
      <c r="D25" s="7"/>
      <c r="E25" s="7"/>
      <c r="F25" s="7"/>
      <c r="G25" s="7"/>
      <c r="H25" s="7"/>
      <c r="I25" s="42">
        <f>I14-I23</f>
        <v>4776</v>
      </c>
      <c r="M25" s="19"/>
      <c r="N25" s="1"/>
      <c r="O25" s="1"/>
    </row>
    <row r="26" spans="1:15" ht="13.5" thickBot="1">
      <c r="A26" s="6"/>
      <c r="B26" s="23" t="s">
        <v>73</v>
      </c>
      <c r="C26" s="7"/>
      <c r="D26" s="7"/>
      <c r="E26" s="7"/>
      <c r="F26" s="7"/>
      <c r="G26" s="7"/>
      <c r="H26" s="7"/>
      <c r="I26" s="42">
        <f>I25/12</f>
        <v>398</v>
      </c>
      <c r="M26" s="19"/>
      <c r="N26" s="1"/>
      <c r="O26" s="1"/>
    </row>
    <row r="27" spans="1:15" ht="13.5" thickBot="1">
      <c r="A27" s="6"/>
      <c r="B27" s="23" t="s">
        <v>76</v>
      </c>
      <c r="C27" s="10"/>
      <c r="D27" s="10"/>
      <c r="E27" s="10"/>
      <c r="F27" s="10"/>
      <c r="G27" s="10"/>
      <c r="H27" s="10"/>
      <c r="I27" s="52">
        <f>SUM(I26*0.8)</f>
        <v>318.40000000000003</v>
      </c>
      <c r="K27" s="8"/>
      <c r="L27" s="21"/>
      <c r="M27" s="5"/>
      <c r="N27" s="1"/>
      <c r="O27" s="1"/>
    </row>
    <row r="28" spans="1:15" ht="13.5" thickBot="1">
      <c r="A28" s="6"/>
      <c r="B28" s="7"/>
      <c r="C28" s="7"/>
      <c r="D28" s="7"/>
      <c r="E28" s="7"/>
      <c r="F28" s="7"/>
      <c r="G28" s="7"/>
      <c r="H28" s="7"/>
      <c r="I28" s="9"/>
      <c r="K28" s="8"/>
      <c r="L28" s="21"/>
      <c r="M28" s="5"/>
      <c r="N28" s="1"/>
      <c r="O28" s="1"/>
    </row>
    <row r="29" spans="1:15" ht="13.5" thickBot="1">
      <c r="A29" s="22" t="s">
        <v>53</v>
      </c>
      <c r="B29" s="7"/>
      <c r="C29" s="7"/>
      <c r="D29" s="7"/>
      <c r="E29" s="7"/>
      <c r="F29" s="7"/>
      <c r="G29" s="7"/>
      <c r="H29" s="7"/>
      <c r="I29" s="9"/>
      <c r="K29" s="315" t="s">
        <v>57</v>
      </c>
      <c r="L29" s="316"/>
      <c r="M29" s="5"/>
      <c r="N29" s="1"/>
      <c r="O29" s="1"/>
    </row>
    <row r="30" spans="1:15" ht="13.5" thickBot="1">
      <c r="A30" s="6"/>
      <c r="B30" s="15" t="s">
        <v>20</v>
      </c>
      <c r="C30" s="15"/>
      <c r="D30" s="15"/>
      <c r="E30" s="15"/>
      <c r="F30" s="15"/>
      <c r="G30" s="15"/>
      <c r="H30" s="15"/>
      <c r="I30" s="52">
        <f>I27</f>
        <v>318.40000000000003</v>
      </c>
      <c r="K30" s="13" t="s">
        <v>25</v>
      </c>
      <c r="L30" s="18" t="s">
        <v>46</v>
      </c>
      <c r="M30" s="5"/>
      <c r="N30" s="5"/>
    </row>
    <row r="31" spans="1:15">
      <c r="A31" s="6"/>
      <c r="B31" s="15"/>
      <c r="C31" s="15"/>
      <c r="D31" s="15"/>
      <c r="E31" s="15"/>
      <c r="F31" s="15"/>
      <c r="G31" s="15"/>
      <c r="H31" s="15"/>
      <c r="I31" s="20"/>
      <c r="K31" s="33">
        <v>0</v>
      </c>
      <c r="L31" s="34">
        <v>604</v>
      </c>
      <c r="M31" s="5"/>
      <c r="N31" s="5"/>
    </row>
    <row r="32" spans="1:15" ht="13.5" thickBot="1">
      <c r="A32" s="6" t="s">
        <v>63</v>
      </c>
      <c r="B32" s="7"/>
      <c r="C32" s="7"/>
      <c r="D32" s="7"/>
      <c r="E32" s="7"/>
      <c r="F32" s="7"/>
      <c r="G32" s="7"/>
      <c r="H32" s="7"/>
      <c r="I32" s="9"/>
      <c r="K32" s="33">
        <v>1</v>
      </c>
      <c r="L32" s="34">
        <v>699</v>
      </c>
      <c r="M32" s="5"/>
      <c r="N32" s="5"/>
    </row>
    <row r="33" spans="1:14" ht="13.5" thickBot="1">
      <c r="A33" s="6"/>
      <c r="B33" s="7" t="s">
        <v>6</v>
      </c>
      <c r="C33" s="7"/>
      <c r="D33" s="7"/>
      <c r="E33" s="7"/>
      <c r="F33" s="7"/>
      <c r="G33" s="7"/>
      <c r="H33" s="7"/>
      <c r="I33" s="54">
        <v>841</v>
      </c>
      <c r="K33" s="33">
        <v>2</v>
      </c>
      <c r="L33" s="34">
        <v>910</v>
      </c>
      <c r="M33" s="5"/>
      <c r="N33" s="5"/>
    </row>
    <row r="34" spans="1:14" ht="13.5" thickBot="1">
      <c r="A34" s="6"/>
      <c r="B34" s="10" t="s">
        <v>19</v>
      </c>
      <c r="C34" s="7"/>
      <c r="D34" s="7"/>
      <c r="E34" s="7"/>
      <c r="F34" s="7"/>
      <c r="G34" s="7"/>
      <c r="H34" s="7"/>
      <c r="I34" s="56">
        <v>0</v>
      </c>
      <c r="J34" s="5"/>
      <c r="K34" s="33">
        <v>3</v>
      </c>
      <c r="L34" s="34">
        <v>1326</v>
      </c>
      <c r="M34" s="5"/>
      <c r="N34" s="5"/>
    </row>
    <row r="35" spans="1:14" ht="13.5" thickBot="1">
      <c r="A35" s="6"/>
      <c r="B35" s="10" t="s">
        <v>7</v>
      </c>
      <c r="C35" s="7"/>
      <c r="D35" s="7"/>
      <c r="E35" s="7"/>
      <c r="F35" s="7"/>
      <c r="G35" s="7"/>
      <c r="H35" s="7"/>
      <c r="I35" s="55">
        <f>I33+I34</f>
        <v>841</v>
      </c>
      <c r="J35" s="5"/>
      <c r="K35" s="35">
        <v>4</v>
      </c>
      <c r="L35" s="36">
        <v>1589</v>
      </c>
      <c r="M35" s="4"/>
      <c r="N35" s="4"/>
    </row>
    <row r="36" spans="1:14" ht="13.5" thickBot="1">
      <c r="A36" s="6"/>
      <c r="B36" s="7" t="s">
        <v>12</v>
      </c>
      <c r="C36" s="42">
        <f>I35</f>
        <v>841</v>
      </c>
      <c r="D36" s="317" t="s">
        <v>11</v>
      </c>
      <c r="E36" s="318"/>
      <c r="F36" s="319"/>
      <c r="G36" s="42">
        <f>VLOOKUP(C6,K31:L35,2,FALSE)</f>
        <v>910</v>
      </c>
      <c r="I36" s="26"/>
      <c r="J36" s="5"/>
      <c r="M36" s="4"/>
      <c r="N36" s="4"/>
    </row>
    <row r="37" spans="1:14">
      <c r="A37" s="6"/>
      <c r="B37" s="27" t="s">
        <v>56</v>
      </c>
      <c r="C37" s="27"/>
      <c r="D37" s="27"/>
      <c r="E37" s="27"/>
      <c r="F37" s="27"/>
      <c r="G37" s="27"/>
      <c r="H37" s="7"/>
      <c r="I37" s="9"/>
      <c r="J37" s="5"/>
      <c r="M37" s="4"/>
      <c r="N37" s="4"/>
    </row>
    <row r="38" spans="1:14" ht="9.6" customHeight="1">
      <c r="A38" s="6"/>
      <c r="B38" s="7"/>
      <c r="C38" s="7"/>
      <c r="D38" s="7"/>
      <c r="E38" s="7"/>
      <c r="F38" s="7"/>
      <c r="G38" s="7"/>
      <c r="H38" s="7"/>
      <c r="I38" s="20"/>
      <c r="M38" s="5"/>
      <c r="N38" s="5"/>
    </row>
    <row r="39" spans="1:14" ht="13.5" thickBot="1">
      <c r="A39" s="22" t="s">
        <v>64</v>
      </c>
      <c r="B39" s="7"/>
      <c r="C39" s="7"/>
      <c r="D39" s="7"/>
      <c r="E39" s="7"/>
      <c r="F39" s="7"/>
      <c r="G39" s="7"/>
      <c r="H39" s="7"/>
      <c r="I39" s="9"/>
      <c r="M39" s="5"/>
      <c r="N39" s="5"/>
    </row>
    <row r="40" spans="1:14">
      <c r="A40" s="6"/>
      <c r="B40" s="7" t="s">
        <v>6</v>
      </c>
      <c r="C40" s="7"/>
      <c r="D40" s="7"/>
      <c r="E40" s="7"/>
      <c r="F40" s="7"/>
      <c r="G40" s="7"/>
      <c r="H40" s="7"/>
      <c r="I40" s="57">
        <f>I33</f>
        <v>841</v>
      </c>
      <c r="M40" s="5"/>
      <c r="N40" s="5"/>
    </row>
    <row r="41" spans="1:14">
      <c r="A41" s="6"/>
      <c r="B41" s="23" t="s">
        <v>54</v>
      </c>
      <c r="C41" s="7"/>
      <c r="D41" s="7"/>
      <c r="E41" s="7"/>
      <c r="F41" s="7"/>
      <c r="G41" s="7"/>
      <c r="H41" s="7"/>
      <c r="I41" s="58">
        <f>I30-I34</f>
        <v>318.40000000000003</v>
      </c>
      <c r="M41" s="5"/>
      <c r="N41" s="5"/>
    </row>
    <row r="42" spans="1:14" ht="13.5" thickBot="1">
      <c r="A42" s="6"/>
      <c r="B42" s="15" t="s">
        <v>0</v>
      </c>
      <c r="C42" s="7"/>
      <c r="D42" s="7"/>
      <c r="E42" s="7"/>
      <c r="F42" s="7"/>
      <c r="G42" s="7"/>
      <c r="H42" s="7"/>
      <c r="I42" s="53">
        <f>I40-I41</f>
        <v>522.59999999999991</v>
      </c>
      <c r="M42" s="5"/>
      <c r="N42" s="5"/>
    </row>
    <row r="43" spans="1:14">
      <c r="A43" s="6"/>
      <c r="B43" s="27"/>
      <c r="C43" s="27"/>
      <c r="D43" s="27"/>
      <c r="E43" s="27"/>
      <c r="F43" s="27"/>
      <c r="G43" s="27"/>
      <c r="H43" s="7"/>
      <c r="I43" s="9"/>
      <c r="J43" s="5"/>
      <c r="M43" s="4"/>
      <c r="N43" s="4"/>
    </row>
    <row r="44" spans="1:14">
      <c r="A44" s="28" t="s">
        <v>45</v>
      </c>
      <c r="B44" s="27"/>
      <c r="C44" s="27"/>
      <c r="D44" s="27"/>
      <c r="E44" s="27"/>
      <c r="F44" s="27"/>
      <c r="G44" s="27"/>
      <c r="H44" s="7"/>
      <c r="I44" s="9"/>
      <c r="J44" s="5"/>
      <c r="M44" s="4"/>
      <c r="N44" s="4"/>
    </row>
    <row r="45" spans="1:14" ht="5.0999999999999996" customHeight="1" thickBot="1">
      <c r="A45" s="28"/>
      <c r="B45" s="27"/>
      <c r="C45" s="27"/>
      <c r="D45" s="27"/>
      <c r="E45" s="27"/>
      <c r="F45" s="27"/>
      <c r="G45" s="27"/>
      <c r="H45" s="7"/>
      <c r="I45" s="9"/>
      <c r="J45" s="5"/>
      <c r="M45" s="4"/>
      <c r="N45" s="4"/>
    </row>
    <row r="46" spans="1:14" s="29" customFormat="1" ht="13.5" thickBot="1">
      <c r="A46" s="28"/>
      <c r="B46" s="15" t="s">
        <v>49</v>
      </c>
      <c r="C46" s="15"/>
      <c r="D46" s="15"/>
      <c r="E46" s="15"/>
      <c r="F46" s="15"/>
      <c r="G46" s="43" t="s">
        <v>47</v>
      </c>
      <c r="H46" s="15"/>
      <c r="I46" s="20"/>
    </row>
    <row r="47" spans="1:14" ht="4.5" customHeight="1" thickBot="1">
      <c r="A47" s="6"/>
      <c r="B47" s="27"/>
      <c r="C47" s="27"/>
      <c r="D47" s="27"/>
      <c r="E47" s="27"/>
      <c r="F47" s="27"/>
      <c r="G47" s="27"/>
      <c r="H47" s="7"/>
      <c r="I47" s="9"/>
      <c r="J47" s="5"/>
      <c r="M47" s="4"/>
      <c r="N47" s="4"/>
    </row>
    <row r="48" spans="1:14" ht="13.5" thickBot="1">
      <c r="A48" s="6"/>
      <c r="B48" s="15" t="s">
        <v>50</v>
      </c>
      <c r="C48" s="10"/>
      <c r="D48" s="10" t="s">
        <v>31</v>
      </c>
      <c r="E48" s="44" t="s">
        <v>36</v>
      </c>
      <c r="F48" s="10" t="s">
        <v>32</v>
      </c>
      <c r="G48" s="45">
        <v>23</v>
      </c>
      <c r="H48" s="61" t="s">
        <v>44</v>
      </c>
      <c r="I48" s="62">
        <f>1-((G48-1)/(VLOOKUP(E48,A66:B77,2,FALSE)))</f>
        <v>0.26666666666666672</v>
      </c>
      <c r="J48" s="5"/>
      <c r="M48" s="4"/>
      <c r="N48" s="4"/>
    </row>
    <row r="49" spans="1:14" ht="6.6" customHeight="1">
      <c r="A49" s="6"/>
      <c r="B49" s="27"/>
      <c r="C49" s="27"/>
      <c r="D49" s="27"/>
      <c r="E49" s="27"/>
      <c r="F49" s="27"/>
      <c r="G49" s="27"/>
      <c r="H49" s="7"/>
      <c r="I49" s="9"/>
      <c r="J49" s="5"/>
      <c r="M49" s="4"/>
      <c r="N49" s="4"/>
    </row>
    <row r="50" spans="1:14" ht="13.5" thickBot="1">
      <c r="A50" s="28" t="s">
        <v>30</v>
      </c>
      <c r="B50" s="15"/>
      <c r="C50" s="15"/>
      <c r="D50" s="15"/>
      <c r="E50" s="7"/>
      <c r="F50" s="7"/>
      <c r="G50" s="7"/>
      <c r="H50" s="7"/>
      <c r="I50" s="9"/>
      <c r="J50" s="5"/>
      <c r="M50" s="4"/>
      <c r="N50" s="4"/>
    </row>
    <row r="51" spans="1:14" ht="13.5" thickBot="1">
      <c r="A51" s="28"/>
      <c r="B51" s="15" t="s">
        <v>52</v>
      </c>
      <c r="C51" s="15"/>
      <c r="D51" s="15"/>
      <c r="E51" s="7"/>
      <c r="F51" s="7"/>
      <c r="G51" s="7"/>
      <c r="H51" s="7"/>
      <c r="I51" s="49">
        <f>(IF(G46="Yes",I48*I41,I41))</f>
        <v>84.906666666666695</v>
      </c>
      <c r="J51" s="5"/>
      <c r="M51" s="4"/>
      <c r="N51" s="4"/>
    </row>
    <row r="52" spans="1:14" ht="13.5" thickBot="1">
      <c r="A52" s="28"/>
      <c r="B52" s="15" t="s">
        <v>13</v>
      </c>
      <c r="C52" s="15"/>
      <c r="D52" s="15"/>
      <c r="E52" s="7"/>
      <c r="F52" s="7"/>
      <c r="G52" s="7"/>
      <c r="H52" s="7"/>
      <c r="I52" s="49">
        <f>(IF(G46="Yes",(I48)*I42,I42))</f>
        <v>139.36000000000001</v>
      </c>
      <c r="J52" s="5"/>
      <c r="K52" s="24"/>
      <c r="L52" s="24"/>
      <c r="M52" s="5"/>
      <c r="N52" s="25">
        <v>13</v>
      </c>
    </row>
    <row r="53" spans="1:14" ht="13.5" thickBot="1">
      <c r="A53" s="28"/>
      <c r="B53" s="15" t="s">
        <v>1</v>
      </c>
      <c r="C53" s="15"/>
      <c r="D53" s="15"/>
      <c r="E53" s="7"/>
      <c r="F53" s="7"/>
      <c r="G53" s="7"/>
      <c r="H53" s="7"/>
      <c r="I53" s="59"/>
      <c r="J53" s="5"/>
      <c r="K53" s="24"/>
      <c r="L53" s="24"/>
      <c r="M53" s="5"/>
      <c r="N53" s="25">
        <v>14</v>
      </c>
    </row>
    <row r="54" spans="1:14" ht="13.5" thickBot="1">
      <c r="A54" s="28"/>
      <c r="B54" s="15" t="s">
        <v>2</v>
      </c>
      <c r="C54" s="15"/>
      <c r="D54" s="15"/>
      <c r="E54" s="7"/>
      <c r="F54" s="7"/>
      <c r="G54" s="7"/>
      <c r="H54" s="7"/>
      <c r="I54" s="59"/>
      <c r="J54" s="5"/>
      <c r="K54" s="24"/>
      <c r="L54" s="24"/>
      <c r="M54" s="4"/>
      <c r="N54" s="4"/>
    </row>
    <row r="55" spans="1:14" ht="13.5" thickBot="1">
      <c r="A55" s="28"/>
      <c r="B55" s="15" t="s">
        <v>3</v>
      </c>
      <c r="C55" s="15"/>
      <c r="D55" s="15"/>
      <c r="E55" s="7"/>
      <c r="F55" s="7"/>
      <c r="G55" s="7"/>
      <c r="H55" s="7"/>
      <c r="I55" s="59"/>
      <c r="J55" s="5"/>
      <c r="M55" s="4"/>
      <c r="N55" s="4"/>
    </row>
    <row r="56" spans="1:14" ht="13.5" thickBot="1">
      <c r="A56" s="28"/>
      <c r="B56" s="15" t="s">
        <v>68</v>
      </c>
      <c r="C56" s="15"/>
      <c r="D56" s="320"/>
      <c r="E56" s="321"/>
      <c r="F56" s="321"/>
      <c r="G56" s="322"/>
      <c r="H56" s="7"/>
      <c r="I56" s="59"/>
      <c r="J56" s="5"/>
      <c r="M56" s="4"/>
      <c r="N56" s="4"/>
    </row>
    <row r="57" spans="1:14" ht="13.5" thickBot="1">
      <c r="A57" s="6"/>
      <c r="B57" s="15" t="s">
        <v>67</v>
      </c>
      <c r="C57" s="7"/>
      <c r="D57" s="7"/>
      <c r="E57" s="7"/>
      <c r="F57" s="7"/>
      <c r="G57" s="7"/>
      <c r="H57" s="7"/>
      <c r="I57" s="59"/>
      <c r="J57" s="5"/>
      <c r="M57" s="4"/>
      <c r="N57" s="4"/>
    </row>
    <row r="58" spans="1:14" ht="15.6" customHeight="1" thickBot="1">
      <c r="A58" s="6"/>
      <c r="B58" s="7"/>
      <c r="C58" s="7"/>
      <c r="D58" s="7"/>
      <c r="E58" s="7"/>
      <c r="F58" s="7"/>
      <c r="G58" s="7"/>
      <c r="H58" s="7"/>
      <c r="I58" s="60"/>
      <c r="J58" s="5"/>
      <c r="M58" s="4"/>
      <c r="N58" s="4"/>
    </row>
    <row r="59" spans="1:14" ht="10.5" customHeight="1" thickBot="1">
      <c r="A59" s="6"/>
      <c r="B59" s="7"/>
      <c r="C59" s="7"/>
      <c r="D59" s="7"/>
      <c r="E59" s="7"/>
      <c r="F59" s="7"/>
      <c r="G59" s="7"/>
      <c r="H59" s="7"/>
      <c r="I59" s="20"/>
      <c r="J59" s="5"/>
      <c r="M59" s="4"/>
      <c r="N59" s="4"/>
    </row>
    <row r="60" spans="1:14" ht="17.100000000000001" customHeight="1" thickBot="1">
      <c r="A60" s="46" t="s">
        <v>69</v>
      </c>
      <c r="B60" s="309"/>
      <c r="C60" s="310"/>
      <c r="D60" s="310"/>
      <c r="E60" s="310"/>
      <c r="F60" s="311"/>
      <c r="G60" s="47" t="s">
        <v>70</v>
      </c>
      <c r="H60" s="309"/>
      <c r="I60" s="311"/>
      <c r="J60" s="23"/>
      <c r="M60" s="4"/>
      <c r="N60" s="4"/>
    </row>
    <row r="61" spans="1:14">
      <c r="J61" s="5"/>
      <c r="M61" s="4"/>
      <c r="N61" s="4"/>
    </row>
    <row r="62" spans="1:14">
      <c r="A62" s="24" t="s">
        <v>47</v>
      </c>
      <c r="B62" s="24"/>
      <c r="M62" s="4"/>
      <c r="N62" s="4"/>
    </row>
    <row r="63" spans="1:14">
      <c r="A63" s="24" t="s">
        <v>48</v>
      </c>
      <c r="B63" s="24"/>
      <c r="M63" s="4"/>
      <c r="N63" s="4"/>
    </row>
    <row r="64" spans="1:14">
      <c r="A64" s="5"/>
      <c r="B64" s="5"/>
      <c r="M64" s="4"/>
      <c r="N64" s="4"/>
    </row>
    <row r="65" spans="1:14">
      <c r="A65" s="5"/>
      <c r="B65" s="5"/>
      <c r="M65" s="4"/>
      <c r="N65" s="4"/>
    </row>
    <row r="66" spans="1:14">
      <c r="A66" s="24" t="s">
        <v>33</v>
      </c>
      <c r="B66" s="24">
        <v>31</v>
      </c>
      <c r="M66" s="4"/>
      <c r="N66" s="4"/>
    </row>
    <row r="67" spans="1:14">
      <c r="A67" s="24" t="s">
        <v>34</v>
      </c>
      <c r="B67" s="24">
        <v>28</v>
      </c>
      <c r="M67" s="25"/>
      <c r="N67" s="25">
        <v>27</v>
      </c>
    </row>
    <row r="68" spans="1:14">
      <c r="A68" s="24" t="s">
        <v>35</v>
      </c>
      <c r="B68" s="24">
        <v>31</v>
      </c>
      <c r="M68" s="25"/>
      <c r="N68" s="25">
        <v>28</v>
      </c>
    </row>
    <row r="69" spans="1:14">
      <c r="A69" s="24" t="s">
        <v>36</v>
      </c>
      <c r="B69" s="24">
        <v>30</v>
      </c>
      <c r="M69" s="25"/>
      <c r="N69" s="25">
        <v>29</v>
      </c>
    </row>
    <row r="70" spans="1:14">
      <c r="A70" s="24" t="s">
        <v>37</v>
      </c>
      <c r="B70" s="24">
        <v>31</v>
      </c>
      <c r="M70" s="25"/>
      <c r="N70" s="25">
        <v>30</v>
      </c>
    </row>
    <row r="71" spans="1:14">
      <c r="A71" s="24" t="s">
        <v>38</v>
      </c>
      <c r="B71" s="24">
        <v>30</v>
      </c>
      <c r="M71" s="25"/>
      <c r="N71" s="25">
        <v>31</v>
      </c>
    </row>
    <row r="72" spans="1:14">
      <c r="A72" s="24" t="s">
        <v>39</v>
      </c>
      <c r="B72" s="24">
        <v>31</v>
      </c>
      <c r="K72" s="25"/>
      <c r="L72" s="25"/>
      <c r="M72" s="25"/>
      <c r="N72" s="25"/>
    </row>
    <row r="73" spans="1:14">
      <c r="A73" s="24" t="s">
        <v>40</v>
      </c>
      <c r="B73" s="24">
        <v>31</v>
      </c>
      <c r="K73" s="25"/>
      <c r="L73" s="25"/>
      <c r="M73" s="25"/>
      <c r="N73" s="25"/>
    </row>
    <row r="74" spans="1:14">
      <c r="A74" s="24" t="s">
        <v>41</v>
      </c>
      <c r="B74" s="24">
        <v>30</v>
      </c>
      <c r="K74" s="25"/>
      <c r="L74" s="25"/>
      <c r="M74" s="25"/>
      <c r="N74" s="25"/>
    </row>
    <row r="75" spans="1:14">
      <c r="A75" s="24" t="s">
        <v>42</v>
      </c>
      <c r="B75" s="24">
        <v>31</v>
      </c>
      <c r="K75" s="25"/>
      <c r="L75" s="25"/>
      <c r="M75" s="25"/>
      <c r="N75" s="25"/>
    </row>
    <row r="76" spans="1:14">
      <c r="A76" s="24" t="s">
        <v>55</v>
      </c>
      <c r="B76" s="24">
        <v>30</v>
      </c>
      <c r="K76" s="25"/>
      <c r="L76" s="25"/>
      <c r="M76" s="25"/>
      <c r="N76" s="25"/>
    </row>
    <row r="77" spans="1:14">
      <c r="A77" s="24" t="s">
        <v>43</v>
      </c>
      <c r="B77" s="24">
        <v>31</v>
      </c>
      <c r="K77" s="25"/>
      <c r="L77" s="25"/>
      <c r="M77" s="25"/>
      <c r="N77" s="25"/>
    </row>
  </sheetData>
  <sheetProtection insertRows="0"/>
  <mergeCells count="8">
    <mergeCell ref="B60:F60"/>
    <mergeCell ref="H60:I60"/>
    <mergeCell ref="A1:I1"/>
    <mergeCell ref="C3:F3"/>
    <mergeCell ref="K8:L8"/>
    <mergeCell ref="K29:L29"/>
    <mergeCell ref="D36:F36"/>
    <mergeCell ref="D56:G56"/>
  </mergeCells>
  <dataValidations count="3">
    <dataValidation type="list" allowBlank="1" showInputMessage="1" showErrorMessage="1" sqref="E48">
      <formula1>$A$66:$A$77</formula1>
    </dataValidation>
    <dataValidation type="list" allowBlank="1" showInputMessage="1" showErrorMessage="1" sqref="G46">
      <formula1>$A$62:$A$63</formula1>
    </dataValidation>
    <dataValidation type="list" allowBlank="1" showInputMessage="1" showErrorMessage="1" sqref="G48">
      <formula1>$N$52:$N$71</formula1>
    </dataValidation>
  </dataValidations>
  <pageMargins left="0.7" right="0.7" top="0.75" bottom="0.75" header="0.3" footer="0.3"/>
  <pageSetup scale="89" orientation="portrait" r:id="rId1"/>
  <headerFooter alignWithMargins="0">
    <oddHeader xml:space="preserve">&amp;C&amp;14RENT ASSISTANCE CALCULATION </oddHeader>
    <oddFooter>&amp;R&amp;D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XFD286"/>
  <sheetViews>
    <sheetView tabSelected="1" zoomScale="130" zoomScaleNormal="130" zoomScaleSheetLayoutView="130" workbookViewId="0">
      <selection activeCell="E16" sqref="E16:F16"/>
    </sheetView>
  </sheetViews>
  <sheetFormatPr defaultColWidth="9.140625" defaultRowHeight="12.75"/>
  <cols>
    <col min="1" max="1" width="14" style="143" customWidth="1"/>
    <col min="2" max="2" width="21.42578125" style="91" customWidth="1"/>
    <col min="3" max="3" width="12.7109375" style="91" customWidth="1"/>
    <col min="4" max="4" width="15.28515625" style="91" customWidth="1"/>
    <col min="5" max="5" width="13.28515625" style="91" customWidth="1"/>
    <col min="6" max="6" width="14" style="91" customWidth="1"/>
    <col min="7" max="7" width="12.5703125" style="91" customWidth="1"/>
    <col min="8" max="8" width="15.5703125" style="91" customWidth="1"/>
    <col min="9" max="9" width="13.140625" style="144" customWidth="1"/>
    <col min="10" max="10" width="46.42578125" style="91" hidden="1" customWidth="1"/>
    <col min="11" max="11" width="13.85546875" style="91" hidden="1" customWidth="1"/>
    <col min="12" max="12" width="19.140625" style="91" hidden="1" customWidth="1"/>
    <col min="13" max="14" width="9.140625" style="145" hidden="1" customWidth="1"/>
    <col min="15" max="17" width="9.140625" style="91" hidden="1" customWidth="1"/>
    <col min="18" max="18" width="10.42578125" style="91" hidden="1" customWidth="1"/>
    <col min="19" max="19" width="9.7109375" style="91" hidden="1" customWidth="1"/>
    <col min="20" max="20" width="9.42578125" style="91" hidden="1" customWidth="1"/>
    <col min="21" max="27" width="9.140625" style="91" hidden="1" customWidth="1"/>
    <col min="28" max="16382" width="9.140625" style="91" customWidth="1"/>
    <col min="16383" max="16383" width="4.42578125" style="91" customWidth="1"/>
    <col min="16384" max="16384" width="32.85546875" style="91" hidden="1" customWidth="1"/>
  </cols>
  <sheetData>
    <row r="1" spans="1:14" s="119" customFormat="1" ht="40.5" customHeight="1" thickBot="1">
      <c r="A1" s="355" t="s">
        <v>330</v>
      </c>
      <c r="B1" s="356"/>
      <c r="C1" s="356"/>
      <c r="D1" s="356"/>
      <c r="E1" s="356"/>
      <c r="F1" s="356"/>
      <c r="G1" s="356"/>
      <c r="H1" s="356"/>
      <c r="I1" s="357"/>
      <c r="J1" s="263"/>
      <c r="M1" s="120"/>
      <c r="N1" s="120"/>
    </row>
    <row r="2" spans="1:14" ht="13.5" thickBot="1">
      <c r="A2" s="323" t="s">
        <v>253</v>
      </c>
      <c r="B2" s="324"/>
      <c r="C2" s="324"/>
      <c r="D2" s="324"/>
      <c r="E2" s="324"/>
      <c r="F2" s="324"/>
      <c r="G2" s="324"/>
      <c r="H2" s="324"/>
      <c r="I2" s="325"/>
      <c r="J2" s="263"/>
      <c r="M2" s="121"/>
      <c r="N2" s="121"/>
    </row>
    <row r="3" spans="1:14" ht="12" customHeight="1">
      <c r="A3" s="280" t="s">
        <v>180</v>
      </c>
      <c r="B3" s="263"/>
      <c r="C3" s="358"/>
      <c r="D3" s="359"/>
      <c r="E3" s="359"/>
      <c r="F3" s="360"/>
      <c r="G3" s="298" t="s">
        <v>157</v>
      </c>
      <c r="H3" s="297"/>
      <c r="I3" s="147"/>
      <c r="J3" s="263"/>
      <c r="M3" s="121"/>
      <c r="N3" s="121"/>
    </row>
    <row r="4" spans="1:14" ht="12" customHeight="1">
      <c r="A4" s="285" t="s">
        <v>159</v>
      </c>
      <c r="B4" s="263"/>
      <c r="C4" s="371"/>
      <c r="D4" s="371"/>
      <c r="E4" s="371"/>
      <c r="F4" s="371"/>
      <c r="G4" s="371"/>
      <c r="H4" s="371"/>
      <c r="I4" s="147"/>
      <c r="J4" s="263"/>
      <c r="M4" s="121"/>
      <c r="N4" s="121"/>
    </row>
    <row r="5" spans="1:14" ht="12" customHeight="1">
      <c r="A5" s="285" t="s">
        <v>133</v>
      </c>
      <c r="B5" s="263"/>
      <c r="C5" s="372"/>
      <c r="D5" s="373"/>
      <c r="E5" s="129"/>
      <c r="F5" s="129"/>
      <c r="G5" s="262"/>
      <c r="H5" s="263"/>
      <c r="I5" s="147"/>
      <c r="J5" s="263"/>
      <c r="M5" s="121"/>
      <c r="N5" s="121"/>
    </row>
    <row r="6" spans="1:14" ht="12" customHeight="1">
      <c r="A6" s="361" t="s">
        <v>193</v>
      </c>
      <c r="B6" s="362"/>
      <c r="C6" s="88"/>
      <c r="D6" s="264"/>
      <c r="E6" s="263"/>
      <c r="F6" s="168" t="str">
        <f>IFERROR("Eligible for Units with "&amp; IF(C6&lt;8,(VLOOKUP(C6,'OCCUPANCY_days in month'!A2:C10,2,FALSE)&amp;" - "&amp;VLOOKUP(C6,'OCCUPANCY_days in month'!A2:C10,3,FALSE)&amp;" Bedrooms"), "4-6 Bedrooms"),"")</f>
        <v/>
      </c>
      <c r="G6" s="146"/>
      <c r="H6" s="263"/>
      <c r="I6" s="147"/>
      <c r="J6" s="263"/>
      <c r="M6" s="121"/>
      <c r="N6" s="121"/>
    </row>
    <row r="7" spans="1:14" ht="12" customHeight="1">
      <c r="A7" s="363" t="s">
        <v>273</v>
      </c>
      <c r="B7" s="364"/>
      <c r="C7" s="87"/>
      <c r="D7" s="369" t="s">
        <v>254</v>
      </c>
      <c r="E7" s="370"/>
      <c r="F7" s="367" t="str">
        <f>IF(C7&gt;6,"Do not use this form. Use a rent reasonableness method","")</f>
        <v/>
      </c>
      <c r="G7" s="367"/>
      <c r="H7" s="367"/>
      <c r="I7" s="368"/>
      <c r="J7" s="263"/>
      <c r="M7" s="121"/>
      <c r="N7" s="121"/>
    </row>
    <row r="8" spans="1:14" ht="12" customHeight="1" thickBot="1">
      <c r="A8" s="365" t="s">
        <v>158</v>
      </c>
      <c r="B8" s="366"/>
      <c r="C8" s="87"/>
      <c r="D8" s="263"/>
      <c r="E8" s="148">
        <f>MATCH(C7,FMRZIP_AMI!B2:H2,0)</f>
        <v>1</v>
      </c>
      <c r="F8" s="148" t="e">
        <f>MATCH(C8,FMRZIP_AMI!A3:A72, 0)</f>
        <v>#N/A</v>
      </c>
      <c r="G8" s="148" t="e">
        <f>INDEX(FMRZIP_AMI!A3:H72,F8,MATCH(C7,FMRZIP_AMI!B2:H2,0))</f>
        <v>#N/A</v>
      </c>
      <c r="H8" s="149" t="str">
        <f>IFERROR("Eligible for Units with "&amp; IF(C6&lt;8,(VLOOKUP(C6,'OCCUPANCY_days in month'!A2:C10,2,FALSE)&amp;" - "&amp;VLOOKUP(C6,'OCCUPANCY_days in month'!A2:C10,3,FALSE)&amp;" Bedrooms"), "4 Bedrooms"),"")</f>
        <v/>
      </c>
      <c r="I8" s="150"/>
      <c r="J8" s="263"/>
      <c r="M8" s="121"/>
      <c r="N8" s="121"/>
    </row>
    <row r="9" spans="1:14" ht="12" customHeight="1" thickBot="1">
      <c r="A9" s="323" t="s">
        <v>173</v>
      </c>
      <c r="B9" s="324"/>
      <c r="C9" s="324"/>
      <c r="D9" s="324"/>
      <c r="E9" s="324"/>
      <c r="F9" s="324"/>
      <c r="G9" s="324"/>
      <c r="H9" s="324"/>
      <c r="I9" s="325"/>
      <c r="J9" s="263"/>
      <c r="K9" s="122"/>
      <c r="L9" s="122"/>
      <c r="M9" s="121"/>
      <c r="N9" s="121"/>
    </row>
    <row r="10" spans="1:14" ht="13.5" customHeight="1">
      <c r="A10" s="385" t="s">
        <v>191</v>
      </c>
      <c r="B10" s="386"/>
      <c r="C10" s="261" t="s">
        <v>190</v>
      </c>
      <c r="D10" s="254" t="s">
        <v>266</v>
      </c>
      <c r="E10" s="331" t="s">
        <v>192</v>
      </c>
      <c r="F10" s="331"/>
      <c r="G10" s="394" t="s">
        <v>339</v>
      </c>
      <c r="H10" s="394"/>
      <c r="I10" s="308" t="s">
        <v>129</v>
      </c>
      <c r="J10" s="263"/>
      <c r="K10" s="122"/>
      <c r="L10" s="122"/>
      <c r="M10" s="121"/>
      <c r="N10" s="121"/>
    </row>
    <row r="11" spans="1:14" ht="12" customHeight="1">
      <c r="A11" s="390"/>
      <c r="B11" s="391"/>
      <c r="C11" s="232"/>
      <c r="D11" s="256" t="s">
        <v>187</v>
      </c>
      <c r="E11" s="332"/>
      <c r="F11" s="333"/>
      <c r="G11" s="397" t="s">
        <v>195</v>
      </c>
      <c r="H11" s="251"/>
      <c r="I11" s="89" t="str">
        <f t="shared" ref="I11:I17" si="0">IF((H11&lt;=0),"$0",H11*12)</f>
        <v>$0</v>
      </c>
      <c r="J11" s="263"/>
      <c r="K11" s="122"/>
      <c r="L11" s="122"/>
      <c r="M11" s="121"/>
      <c r="N11" s="123"/>
    </row>
    <row r="12" spans="1:14" ht="12" customHeight="1">
      <c r="A12" s="390"/>
      <c r="B12" s="391"/>
      <c r="C12" s="232"/>
      <c r="D12" s="256" t="s">
        <v>187</v>
      </c>
      <c r="E12" s="332"/>
      <c r="F12" s="333"/>
      <c r="G12" s="397"/>
      <c r="H12" s="251"/>
      <c r="I12" s="89" t="str">
        <f t="shared" si="0"/>
        <v>$0</v>
      </c>
      <c r="J12" s="263"/>
      <c r="K12" s="122"/>
      <c r="L12" s="122"/>
      <c r="M12" s="121"/>
      <c r="N12" s="123"/>
    </row>
    <row r="13" spans="1:14" ht="12" customHeight="1">
      <c r="A13" s="390"/>
      <c r="B13" s="391"/>
      <c r="C13" s="232"/>
      <c r="D13" s="256" t="s">
        <v>187</v>
      </c>
      <c r="E13" s="332"/>
      <c r="F13" s="333"/>
      <c r="G13" s="397"/>
      <c r="H13" s="251"/>
      <c r="I13" s="89" t="str">
        <f t="shared" si="0"/>
        <v>$0</v>
      </c>
      <c r="J13" s="263"/>
      <c r="K13" s="122"/>
      <c r="L13" s="122"/>
      <c r="M13" s="121"/>
      <c r="N13" s="123"/>
    </row>
    <row r="14" spans="1:14" ht="12" customHeight="1">
      <c r="A14" s="390"/>
      <c r="B14" s="391"/>
      <c r="C14" s="232"/>
      <c r="D14" s="256" t="s">
        <v>187</v>
      </c>
      <c r="E14" s="334"/>
      <c r="F14" s="335"/>
      <c r="G14" s="397"/>
      <c r="H14" s="251"/>
      <c r="I14" s="89" t="str">
        <f t="shared" si="0"/>
        <v>$0</v>
      </c>
      <c r="J14" s="263"/>
      <c r="K14" s="122"/>
      <c r="L14" s="122"/>
      <c r="M14" s="121"/>
      <c r="N14" s="123"/>
    </row>
    <row r="15" spans="1:14" ht="12" customHeight="1">
      <c r="A15" s="390"/>
      <c r="B15" s="391"/>
      <c r="C15" s="232"/>
      <c r="D15" s="256" t="s">
        <v>187</v>
      </c>
      <c r="E15" s="334"/>
      <c r="F15" s="335"/>
      <c r="G15" s="397"/>
      <c r="H15" s="252"/>
      <c r="I15" s="89" t="str">
        <f t="shared" si="0"/>
        <v>$0</v>
      </c>
      <c r="J15" s="263"/>
      <c r="K15" s="122"/>
      <c r="L15" s="122"/>
      <c r="M15" s="121"/>
      <c r="N15" s="123"/>
    </row>
    <row r="16" spans="1:14" ht="12" customHeight="1">
      <c r="A16" s="390"/>
      <c r="B16" s="391"/>
      <c r="C16" s="232"/>
      <c r="D16" s="256" t="s">
        <v>187</v>
      </c>
      <c r="E16" s="334"/>
      <c r="F16" s="335"/>
      <c r="G16" s="397"/>
      <c r="H16" s="252"/>
      <c r="I16" s="89" t="str">
        <f t="shared" si="0"/>
        <v>$0</v>
      </c>
      <c r="J16" s="263"/>
      <c r="K16" s="122"/>
      <c r="L16" s="122"/>
      <c r="M16" s="121"/>
      <c r="N16" s="123"/>
    </row>
    <row r="17" spans="1:17" ht="12" customHeight="1" thickBot="1">
      <c r="A17" s="392"/>
      <c r="B17" s="393"/>
      <c r="C17" s="231"/>
      <c r="D17" s="256" t="s">
        <v>187</v>
      </c>
      <c r="E17" s="334"/>
      <c r="F17" s="335"/>
      <c r="G17" s="397"/>
      <c r="H17" s="253"/>
      <c r="I17" s="89" t="str">
        <f t="shared" si="0"/>
        <v>$0</v>
      </c>
      <c r="J17" s="263"/>
      <c r="K17" s="122"/>
      <c r="L17" s="122"/>
      <c r="M17" s="121"/>
      <c r="N17" s="123"/>
    </row>
    <row r="18" spans="1:17" ht="12" customHeight="1" thickBot="1">
      <c r="A18" s="286" t="s">
        <v>196</v>
      </c>
      <c r="B18" s="234"/>
      <c r="C18" s="234"/>
      <c r="D18" s="235" t="str">
        <f>IF(I18="$0","Zero Income, Skip Ahead to Area V","")</f>
        <v>Zero Income, Skip Ahead to Area V</v>
      </c>
      <c r="E18" s="234"/>
      <c r="F18" s="395" t="s">
        <v>131</v>
      </c>
      <c r="G18" s="395"/>
      <c r="H18" s="396"/>
      <c r="I18" s="90" t="str">
        <f>IF((SUM(I11:I17)&lt;=0),"$0",SUM(I11:I17))</f>
        <v>$0</v>
      </c>
      <c r="J18" s="263"/>
      <c r="K18" s="122"/>
      <c r="L18" s="122"/>
      <c r="M18" s="121"/>
      <c r="N18" s="123"/>
    </row>
    <row r="19" spans="1:17" s="128" customFormat="1" ht="12" hidden="1" customHeight="1" thickBot="1">
      <c r="A19" s="387" t="s">
        <v>130</v>
      </c>
      <c r="B19" s="388"/>
      <c r="C19" s="388"/>
      <c r="D19" s="388"/>
      <c r="E19" s="388"/>
      <c r="F19" s="388"/>
      <c r="G19" s="388"/>
      <c r="H19" s="389"/>
      <c r="I19" s="124" t="str">
        <f>IFERROR(I18/(VLOOKUP(C6,FMRZIP_AMI!I4:J11,2,FALSE)),"")</f>
        <v/>
      </c>
      <c r="J19" s="151"/>
      <c r="K19" s="125"/>
      <c r="L19" s="125"/>
      <c r="M19" s="126"/>
      <c r="N19" s="127"/>
    </row>
    <row r="20" spans="1:17" s="128" customFormat="1" ht="12" customHeight="1" thickBot="1">
      <c r="A20" s="398" t="str">
        <f>IF(I19&gt;0.5,"STOP - household does not qualify for assistance","")</f>
        <v>STOP - household does not qualify for assistance</v>
      </c>
      <c r="B20" s="399"/>
      <c r="C20" s="399"/>
      <c r="D20" s="399"/>
      <c r="E20" s="399"/>
      <c r="F20" s="399"/>
      <c r="G20" s="399"/>
      <c r="H20" s="399"/>
      <c r="I20" s="400"/>
      <c r="J20" s="151"/>
      <c r="K20" s="125"/>
      <c r="L20" s="125"/>
      <c r="M20" s="126"/>
      <c r="N20" s="127"/>
    </row>
    <row r="21" spans="1:17" s="128" customFormat="1" ht="12" customHeight="1" thickBot="1">
      <c r="A21" s="323" t="s">
        <v>174</v>
      </c>
      <c r="B21" s="324"/>
      <c r="C21" s="324"/>
      <c r="D21" s="324"/>
      <c r="E21" s="324"/>
      <c r="F21" s="324"/>
      <c r="G21" s="324"/>
      <c r="H21" s="324"/>
      <c r="I21" s="325"/>
      <c r="J21" s="151"/>
      <c r="M21" s="129"/>
      <c r="N21" s="129"/>
    </row>
    <row r="22" spans="1:17" s="128" customFormat="1" ht="12" customHeight="1">
      <c r="A22" s="281"/>
      <c r="B22" s="101" t="s">
        <v>274</v>
      </c>
      <c r="C22" s="151"/>
      <c r="D22" s="151"/>
      <c r="E22" s="151"/>
      <c r="G22" s="265" t="s">
        <v>160</v>
      </c>
      <c r="H22" s="94"/>
      <c r="I22" s="95">
        <f>H22*480</f>
        <v>0</v>
      </c>
      <c r="J22" s="151"/>
      <c r="K22" s="131"/>
      <c r="L22" s="131"/>
      <c r="M22" s="131"/>
      <c r="N22" s="131"/>
      <c r="O22" s="131"/>
      <c r="P22" s="131"/>
      <c r="Q22" s="131"/>
    </row>
    <row r="23" spans="1:17" s="128" customFormat="1" ht="12" customHeight="1">
      <c r="A23" s="281"/>
      <c r="B23" s="101" t="s">
        <v>265</v>
      </c>
      <c r="C23" s="151"/>
      <c r="D23" s="151"/>
      <c r="E23" s="151"/>
      <c r="G23" s="151"/>
      <c r="H23" s="96"/>
      <c r="I23" s="99">
        <f>H23*12</f>
        <v>0</v>
      </c>
      <c r="J23" s="151"/>
      <c r="K23" s="131"/>
      <c r="L23" s="131"/>
      <c r="M23" s="131"/>
      <c r="N23" s="131"/>
      <c r="O23" s="131"/>
      <c r="P23" s="131"/>
      <c r="Q23" s="131"/>
    </row>
    <row r="24" spans="1:17" s="128" customFormat="1" ht="12" customHeight="1">
      <c r="A24" s="281"/>
      <c r="B24" s="101" t="s">
        <v>275</v>
      </c>
      <c r="C24" s="151"/>
      <c r="D24" s="151"/>
      <c r="E24" s="151"/>
      <c r="G24" s="265" t="s">
        <v>155</v>
      </c>
      <c r="H24" s="98"/>
      <c r="I24" s="99">
        <f>400*H24</f>
        <v>0</v>
      </c>
      <c r="J24" s="151"/>
      <c r="K24" s="131"/>
      <c r="L24" s="131"/>
      <c r="M24" s="131"/>
      <c r="N24" s="131"/>
      <c r="O24" s="131"/>
      <c r="P24" s="131"/>
      <c r="Q24" s="131"/>
    </row>
    <row r="25" spans="1:17" s="128" customFormat="1" ht="12" customHeight="1" thickBot="1">
      <c r="A25" s="281"/>
      <c r="B25" s="101" t="s">
        <v>184</v>
      </c>
      <c r="C25" s="151"/>
      <c r="D25" s="151"/>
      <c r="E25" s="151"/>
      <c r="G25" s="151"/>
      <c r="H25" s="100"/>
      <c r="I25" s="117">
        <f>H25*12</f>
        <v>0</v>
      </c>
      <c r="J25" s="151"/>
      <c r="K25" s="131"/>
      <c r="L25" s="131"/>
      <c r="M25" s="131"/>
      <c r="N25" s="131"/>
      <c r="O25" s="131"/>
      <c r="P25" s="131"/>
      <c r="Q25" s="131"/>
    </row>
    <row r="26" spans="1:17" s="128" customFormat="1" ht="12" customHeight="1" thickBot="1">
      <c r="A26" s="281"/>
      <c r="B26" s="179" t="s">
        <v>211</v>
      </c>
      <c r="C26" s="179"/>
      <c r="D26" s="179"/>
      <c r="E26" s="336" t="s">
        <v>210</v>
      </c>
      <c r="F26" s="336"/>
      <c r="G26" s="336"/>
      <c r="H26" s="337"/>
      <c r="I26" s="116">
        <f>IF(((SUM(I22:I25))&gt;I18),I18,SUM(I22:I25))</f>
        <v>0</v>
      </c>
      <c r="J26" s="151"/>
      <c r="K26" s="131"/>
      <c r="L26" s="131"/>
      <c r="M26" s="131"/>
      <c r="N26" s="131"/>
      <c r="O26" s="131"/>
      <c r="P26" s="131"/>
      <c r="Q26" s="131"/>
    </row>
    <row r="27" spans="1:17" s="128" customFormat="1" ht="12" customHeight="1" thickBot="1">
      <c r="A27" s="323" t="s">
        <v>175</v>
      </c>
      <c r="B27" s="324"/>
      <c r="C27" s="324"/>
      <c r="D27" s="324"/>
      <c r="E27" s="324"/>
      <c r="F27" s="324"/>
      <c r="G27" s="324"/>
      <c r="H27" s="324"/>
      <c r="I27" s="325"/>
      <c r="J27" s="151"/>
      <c r="K27" s="131"/>
      <c r="L27" s="131"/>
      <c r="M27" s="131"/>
      <c r="N27" s="131"/>
      <c r="O27" s="131"/>
      <c r="P27" s="131"/>
      <c r="Q27" s="131"/>
    </row>
    <row r="28" spans="1:17" s="128" customFormat="1" ht="12" customHeight="1">
      <c r="A28" s="281"/>
      <c r="B28" s="101" t="s">
        <v>103</v>
      </c>
      <c r="C28" s="151"/>
      <c r="D28" s="151"/>
      <c r="E28" s="151"/>
      <c r="F28" s="151"/>
      <c r="G28" s="151"/>
      <c r="H28" s="151"/>
      <c r="I28" s="178" t="str">
        <f>IF(I18="$0","$0.00",I18-I26)</f>
        <v>$0.00</v>
      </c>
      <c r="J28" s="151"/>
      <c r="K28" s="131"/>
      <c r="L28" s="131"/>
      <c r="M28" s="131"/>
      <c r="N28" s="131"/>
      <c r="O28" s="131"/>
      <c r="P28" s="131"/>
      <c r="Q28" s="131"/>
    </row>
    <row r="29" spans="1:17" s="128" customFormat="1" ht="12" customHeight="1" thickBot="1">
      <c r="A29" s="281"/>
      <c r="B29" s="101" t="s">
        <v>104</v>
      </c>
      <c r="C29" s="151"/>
      <c r="D29" s="151"/>
      <c r="E29" s="151"/>
      <c r="F29" s="151"/>
      <c r="G29" s="151"/>
      <c r="H29" s="151"/>
      <c r="I29" s="108">
        <f>I28/12</f>
        <v>0</v>
      </c>
      <c r="J29" s="151"/>
      <c r="K29" s="131"/>
      <c r="L29" s="131"/>
      <c r="M29" s="131"/>
      <c r="N29" s="131"/>
      <c r="O29" s="131"/>
      <c r="P29" s="131"/>
      <c r="Q29" s="131"/>
    </row>
    <row r="30" spans="1:17" s="128" customFormat="1" ht="12" customHeight="1" thickBot="1">
      <c r="A30" s="281"/>
      <c r="B30" s="151"/>
      <c r="C30" s="336" t="s">
        <v>340</v>
      </c>
      <c r="D30" s="336"/>
      <c r="E30" s="336"/>
      <c r="F30" s="336"/>
      <c r="G30" s="336"/>
      <c r="H30" s="337"/>
      <c r="I30" s="103">
        <f>I29*30%</f>
        <v>0</v>
      </c>
      <c r="J30" s="151"/>
      <c r="K30" s="131"/>
      <c r="L30" s="131"/>
      <c r="M30" s="131"/>
      <c r="N30" s="131"/>
      <c r="O30" s="131"/>
      <c r="P30" s="131"/>
      <c r="Q30" s="131"/>
    </row>
    <row r="31" spans="1:17" s="128" customFormat="1" ht="12" customHeight="1" thickBot="1">
      <c r="A31" s="323" t="s">
        <v>176</v>
      </c>
      <c r="B31" s="324"/>
      <c r="C31" s="324"/>
      <c r="D31" s="324"/>
      <c r="E31" s="324"/>
      <c r="F31" s="324"/>
      <c r="G31" s="324"/>
      <c r="H31" s="324"/>
      <c r="I31" s="325"/>
      <c r="J31" s="151"/>
      <c r="K31" s="131"/>
      <c r="L31" s="131"/>
      <c r="M31" s="131"/>
      <c r="N31" s="131"/>
      <c r="O31" s="131"/>
      <c r="P31" s="131"/>
      <c r="Q31" s="131"/>
    </row>
    <row r="32" spans="1:17" s="128" customFormat="1" ht="12" customHeight="1">
      <c r="A32" s="281"/>
      <c r="B32" s="101" t="s">
        <v>268</v>
      </c>
      <c r="C32" s="151"/>
      <c r="D32" s="151"/>
      <c r="E32" s="151"/>
      <c r="H32" s="174" t="str">
        <f>IF(I32&gt;3880,"High $ Alert", "")</f>
        <v/>
      </c>
      <c r="I32" s="115"/>
      <c r="J32" s="151"/>
      <c r="K32" s="131"/>
      <c r="L32" s="131"/>
      <c r="M32" s="131"/>
      <c r="N32" s="131"/>
      <c r="O32" s="131"/>
      <c r="P32" s="131"/>
      <c r="Q32" s="131"/>
    </row>
    <row r="33" spans="1:17 16384:16384" s="128" customFormat="1" ht="12" customHeight="1">
      <c r="A33" s="281"/>
      <c r="B33" s="101" t="s">
        <v>341</v>
      </c>
      <c r="C33" s="151"/>
      <c r="D33" s="151"/>
      <c r="E33" s="151"/>
      <c r="F33" s="151"/>
      <c r="G33" s="151"/>
      <c r="H33" s="173" t="str">
        <f>IF(I33&gt;200,"High $ Alert", "")</f>
        <v/>
      </c>
      <c r="I33" s="97"/>
      <c r="J33" s="151"/>
      <c r="K33" s="131"/>
      <c r="L33" s="131"/>
      <c r="M33" s="131"/>
      <c r="N33" s="131"/>
      <c r="O33" s="131"/>
      <c r="P33" s="131"/>
      <c r="Q33" s="131"/>
    </row>
    <row r="34" spans="1:17 16384:16384" s="128" customFormat="1" ht="12" customHeight="1" thickBot="1">
      <c r="A34" s="281"/>
      <c r="B34" s="101" t="s">
        <v>161</v>
      </c>
      <c r="C34" s="151"/>
      <c r="D34" s="151"/>
      <c r="E34" s="151"/>
      <c r="F34" s="151"/>
      <c r="G34" s="151"/>
      <c r="H34" s="173"/>
      <c r="I34" s="271" t="str">
        <f>IF('Utility Max Calculator'!J40=20,"$0",'Utility Max Calculator'!J40)</f>
        <v>$0</v>
      </c>
      <c r="J34" s="101"/>
      <c r="K34" s="131"/>
      <c r="L34" s="131"/>
      <c r="M34" s="131"/>
      <c r="N34" s="131"/>
      <c r="O34" s="131"/>
      <c r="P34" s="131"/>
      <c r="Q34" s="131"/>
      <c r="XFD34" s="129"/>
    </row>
    <row r="35" spans="1:17 16384:16384" s="128" customFormat="1" ht="12" customHeight="1" thickBot="1">
      <c r="A35" s="281"/>
      <c r="B35" s="101" t="s">
        <v>185</v>
      </c>
      <c r="C35" s="151"/>
      <c r="D35" s="151"/>
      <c r="E35" s="338" t="s">
        <v>186</v>
      </c>
      <c r="F35" s="338"/>
      <c r="G35" s="339"/>
      <c r="H35" s="102" t="str">
        <f>IFERROR(INDEX(FMRZIP_AMI!B3:H72,F8,MATCH(C7,FMRZIP_AMI!B2:H2,0)),"zip error")</f>
        <v>zip error</v>
      </c>
      <c r="I35" s="103">
        <f>SUM(I32:I34)</f>
        <v>0</v>
      </c>
      <c r="J35" s="101"/>
      <c r="K35" s="131"/>
      <c r="L35" s="131"/>
      <c r="M35" s="131"/>
      <c r="N35" s="131"/>
      <c r="O35" s="131"/>
      <c r="P35" s="131"/>
      <c r="Q35" s="131"/>
    </row>
    <row r="36" spans="1:17 16384:16384" s="128" customFormat="1" ht="12" hidden="1" customHeight="1" thickBot="1">
      <c r="A36" s="287"/>
      <c r="B36" s="132"/>
      <c r="C36" s="132"/>
      <c r="E36" s="170"/>
      <c r="F36" s="340"/>
      <c r="G36" s="340"/>
      <c r="H36" s="340"/>
      <c r="I36" s="341"/>
      <c r="J36" s="101"/>
      <c r="K36" s="131"/>
      <c r="L36" s="131"/>
      <c r="M36" s="131"/>
      <c r="N36" s="131"/>
      <c r="O36" s="131"/>
      <c r="P36" s="131"/>
      <c r="Q36" s="131"/>
    </row>
    <row r="37" spans="1:17 16384:16384" s="128" customFormat="1" ht="12" customHeight="1" thickBot="1">
      <c r="A37" s="323" t="s">
        <v>205</v>
      </c>
      <c r="B37" s="324"/>
      <c r="C37" s="324"/>
      <c r="D37" s="324"/>
      <c r="E37" s="324"/>
      <c r="F37" s="324"/>
      <c r="G37" s="324"/>
      <c r="H37" s="324"/>
      <c r="I37" s="325"/>
      <c r="J37" s="151"/>
      <c r="K37" s="131"/>
      <c r="L37" s="131"/>
      <c r="M37" s="131"/>
      <c r="N37" s="131"/>
      <c r="O37" s="131"/>
      <c r="P37" s="131"/>
      <c r="Q37" s="131"/>
    </row>
    <row r="38" spans="1:17 16384:16384" s="128" customFormat="1" ht="12" customHeight="1">
      <c r="A38" s="281"/>
      <c r="B38" s="101" t="s">
        <v>337</v>
      </c>
      <c r="C38" s="151"/>
      <c r="D38" s="151"/>
      <c r="E38" s="171" t="str">
        <f>IF(I38&gt;H35,(SUM(I38-H35)),"")</f>
        <v/>
      </c>
      <c r="F38" s="172" t="str">
        <f>IF(I38&gt;H35,"Overage Must be Justified in Client Chart","")</f>
        <v/>
      </c>
      <c r="G38" s="151"/>
      <c r="H38" s="151"/>
      <c r="I38" s="176"/>
      <c r="J38" s="151"/>
      <c r="K38" s="131"/>
      <c r="L38" s="131"/>
      <c r="M38" s="131"/>
      <c r="N38" s="131"/>
      <c r="O38" s="131"/>
      <c r="P38" s="131"/>
      <c r="Q38" s="131"/>
    </row>
    <row r="39" spans="1:17 16384:16384" s="128" customFormat="1" ht="12" customHeight="1">
      <c r="A39" s="281"/>
      <c r="B39" s="101" t="s">
        <v>183</v>
      </c>
      <c r="C39" s="151"/>
      <c r="D39" s="151"/>
      <c r="E39" s="151"/>
      <c r="F39" s="151"/>
      <c r="G39" s="151"/>
      <c r="H39" s="151"/>
      <c r="I39" s="249" t="str">
        <f>IF(I30&lt;=0,"$0",I34+I33)</f>
        <v>$0</v>
      </c>
      <c r="J39" s="151"/>
      <c r="K39" s="131"/>
      <c r="L39" s="131"/>
      <c r="M39" s="131"/>
      <c r="N39" s="131"/>
      <c r="O39" s="131"/>
      <c r="P39" s="131"/>
      <c r="Q39" s="131"/>
    </row>
    <row r="40" spans="1:17 16384:16384" s="128" customFormat="1" ht="12" customHeight="1">
      <c r="A40" s="281"/>
      <c r="B40" s="101" t="s">
        <v>182</v>
      </c>
      <c r="C40" s="151"/>
      <c r="D40" s="151"/>
      <c r="E40" s="151"/>
      <c r="F40" s="151"/>
      <c r="G40" s="151"/>
      <c r="H40" s="151"/>
      <c r="I40" s="249" t="str">
        <f>IF(I30&lt;=0,"$0",I30-I39)</f>
        <v>$0</v>
      </c>
      <c r="J40" s="151"/>
      <c r="K40" s="131"/>
      <c r="L40" s="131"/>
      <c r="M40" s="131"/>
      <c r="N40" s="131"/>
      <c r="O40" s="131"/>
      <c r="P40" s="131"/>
      <c r="Q40" s="131"/>
    </row>
    <row r="41" spans="1:17 16384:16384" s="128" customFormat="1" ht="12" customHeight="1" thickBot="1">
      <c r="A41" s="281"/>
      <c r="B41" s="101" t="s">
        <v>207</v>
      </c>
      <c r="C41" s="151"/>
      <c r="D41" s="151"/>
      <c r="E41" s="151"/>
      <c r="F41" s="151"/>
      <c r="G41" s="151"/>
      <c r="H41" s="151"/>
      <c r="I41" s="177">
        <v>0</v>
      </c>
      <c r="J41" s="151"/>
      <c r="K41" s="131"/>
      <c r="L41" s="131"/>
      <c r="M41" s="131"/>
      <c r="N41" s="131"/>
      <c r="O41" s="131"/>
      <c r="P41" s="131"/>
      <c r="Q41" s="131"/>
    </row>
    <row r="42" spans="1:17 16384:16384" s="128" customFormat="1" ht="12" customHeight="1" thickBot="1">
      <c r="A42" s="281"/>
      <c r="B42" s="326" t="s">
        <v>264</v>
      </c>
      <c r="C42" s="327"/>
      <c r="D42" s="327"/>
      <c r="E42" s="327"/>
      <c r="F42" s="327"/>
      <c r="G42" s="327"/>
      <c r="H42" s="327"/>
      <c r="I42" s="175" t="str">
        <f>IF((I38-(I39+I40+I41))&gt;0,(I38-(I39+I40+I41)),"$0")</f>
        <v>$0</v>
      </c>
      <c r="J42" s="151"/>
      <c r="K42" s="131"/>
      <c r="L42" s="131"/>
      <c r="M42" s="131"/>
      <c r="N42" s="131"/>
      <c r="O42" s="131"/>
      <c r="P42" s="131"/>
      <c r="Q42" s="131"/>
    </row>
    <row r="43" spans="1:17 16384:16384" s="128" customFormat="1" ht="12" customHeight="1" thickBot="1">
      <c r="A43" s="323" t="s">
        <v>204</v>
      </c>
      <c r="B43" s="324"/>
      <c r="C43" s="324"/>
      <c r="D43" s="324"/>
      <c r="E43" s="324"/>
      <c r="F43" s="324"/>
      <c r="G43" s="324"/>
      <c r="H43" s="324"/>
      <c r="I43" s="325"/>
      <c r="J43" s="101"/>
    </row>
    <row r="44" spans="1:17 16384:16384" s="128" customFormat="1" ht="12" customHeight="1">
      <c r="A44" s="288" t="s">
        <v>199</v>
      </c>
      <c r="B44" s="153"/>
      <c r="C44" s="153"/>
      <c r="D44" s="153"/>
      <c r="E44" s="153"/>
      <c r="F44" s="153"/>
      <c r="G44" s="153"/>
      <c r="H44" s="153"/>
      <c r="I44" s="154"/>
      <c r="J44" s="101"/>
      <c r="Q44" s="133"/>
    </row>
    <row r="45" spans="1:17 16384:16384" s="131" customFormat="1" ht="12" customHeight="1">
      <c r="A45" s="282"/>
      <c r="B45" s="101" t="s">
        <v>197</v>
      </c>
      <c r="C45" s="101"/>
      <c r="D45" s="101"/>
      <c r="E45" s="101"/>
      <c r="F45" s="101"/>
      <c r="G45" s="233" t="s">
        <v>187</v>
      </c>
      <c r="I45" s="134"/>
      <c r="J45" s="152"/>
      <c r="Q45" s="135"/>
    </row>
    <row r="46" spans="1:17 16384:16384" s="128" customFormat="1" ht="12" customHeight="1" thickBot="1">
      <c r="A46" s="281"/>
      <c r="D46" s="151"/>
      <c r="E46" s="328" t="str">
        <f>IF(G45="no","Select Month and Day","")</f>
        <v/>
      </c>
      <c r="F46" s="328"/>
      <c r="G46" s="329" t="str">
        <f>IF(G45="yes","Skip Ahead to Section 2","")</f>
        <v/>
      </c>
      <c r="H46" s="329"/>
      <c r="I46" s="155"/>
      <c r="J46" s="101"/>
    </row>
    <row r="47" spans="1:17 16384:16384" s="128" customFormat="1" ht="12" customHeight="1" thickBot="1">
      <c r="A47" s="281"/>
      <c r="B47" s="101" t="s">
        <v>50</v>
      </c>
      <c r="C47" s="101"/>
      <c r="D47" s="265" t="s">
        <v>106</v>
      </c>
      <c r="E47" s="105" t="s">
        <v>39</v>
      </c>
      <c r="F47" s="265" t="s">
        <v>105</v>
      </c>
      <c r="G47" s="106">
        <v>20</v>
      </c>
      <c r="I47" s="157">
        <f>IF(G47="","",IFERROR(1-((G47-1)/(VLOOKUP(E47,A80:B93,2,FALSE))),""))</f>
        <v>0.38709677419354838</v>
      </c>
      <c r="J47" s="101"/>
    </row>
    <row r="48" spans="1:17 16384:16384" s="128" customFormat="1" ht="12" hidden="1" customHeight="1">
      <c r="A48" s="281"/>
      <c r="B48" s="158" t="s">
        <v>189</v>
      </c>
      <c r="C48" s="159"/>
      <c r="D48" s="159"/>
      <c r="E48" s="159"/>
      <c r="F48" s="159"/>
      <c r="H48" s="173" t="str">
        <f>IF(I48&gt;3880,"High $ Alert", "")</f>
        <v>High $ Alert</v>
      </c>
      <c r="I48" s="107" t="str">
        <f>IF(OR(G45="Yes",G45=""),"",(IF(G45="No",(I47)*(I38),(""))))</f>
        <v/>
      </c>
      <c r="J48" s="101"/>
      <c r="Q48" s="137"/>
    </row>
    <row r="49" spans="1:20 16383:16384" s="128" customFormat="1" ht="12" customHeight="1" thickBot="1">
      <c r="A49" s="282"/>
      <c r="B49" s="330" t="s">
        <v>206</v>
      </c>
      <c r="C49" s="330"/>
      <c r="D49" s="330"/>
      <c r="E49" s="180"/>
      <c r="F49" s="180"/>
      <c r="G49" s="172" t="str">
        <f>IF(AND(E47="February",G47&gt;29),"Date Error",
IF(AND(E47="April",G47&gt;30),"Date Error",
IF(AND(E47="June",G47&gt;30),"Date Error",
IF(AND(E47="September",G47&gt;30),"Date Error",
IF(AND(E47="November",G47&gt;30),"Date Error","")))))</f>
        <v/>
      </c>
      <c r="H49" s="151"/>
      <c r="I49" s="108" t="str">
        <f>IF(OR(G45="Yes",G45=""),"",(IF(G45="no",I47*(I40+I39),"")))</f>
        <v/>
      </c>
      <c r="J49" s="101"/>
      <c r="N49" s="129"/>
    </row>
    <row r="50" spans="1:20 16383:16384" s="128" customFormat="1" ht="12" customHeight="1" thickBot="1">
      <c r="A50" s="282"/>
      <c r="B50" s="326" t="s">
        <v>209</v>
      </c>
      <c r="C50" s="327"/>
      <c r="D50" s="327"/>
      <c r="E50" s="327"/>
      <c r="F50" s="327"/>
      <c r="G50" s="327"/>
      <c r="H50" s="327"/>
      <c r="I50" s="109">
        <f>IFERROR((I48-I49),0)</f>
        <v>0</v>
      </c>
      <c r="J50" s="101"/>
      <c r="K50" s="138"/>
      <c r="L50" s="138"/>
      <c r="M50" s="129"/>
      <c r="N50" s="129"/>
    </row>
    <row r="51" spans="1:20 16383:16384" s="128" customFormat="1" ht="12" customHeight="1">
      <c r="A51" s="282" t="s">
        <v>200</v>
      </c>
      <c r="B51" s="159"/>
      <c r="C51" s="159"/>
      <c r="D51" s="159"/>
      <c r="E51" s="159"/>
      <c r="F51" s="159"/>
      <c r="G51" s="159"/>
      <c r="H51" s="151"/>
      <c r="I51" s="155"/>
      <c r="J51" s="101"/>
      <c r="N51" s="129"/>
      <c r="R51" s="129"/>
      <c r="S51" s="139"/>
    </row>
    <row r="52" spans="1:20 16383:16384" s="128" customFormat="1" ht="12" customHeight="1">
      <c r="A52" s="282"/>
      <c r="B52" s="101" t="s">
        <v>198</v>
      </c>
      <c r="C52" s="101"/>
      <c r="D52" s="101"/>
      <c r="E52" s="101"/>
      <c r="F52" s="101"/>
      <c r="G52" s="233" t="s">
        <v>187</v>
      </c>
      <c r="H52" s="152"/>
      <c r="I52" s="160"/>
      <c r="J52" s="101"/>
      <c r="N52" s="129"/>
      <c r="R52" s="129"/>
      <c r="S52" s="139"/>
    </row>
    <row r="53" spans="1:20 16383:16384" s="128" customFormat="1" ht="12" customHeight="1" thickBot="1">
      <c r="A53" s="281"/>
      <c r="D53" s="151"/>
      <c r="E53" s="328" t="str">
        <f>IF(G52="no","Select Month and Day ","")</f>
        <v/>
      </c>
      <c r="F53" s="328"/>
      <c r="G53" s="329" t="str">
        <f>IF(G52="yes","Skip Ahead to Section 3",IF(G52="unknown","Skip Ahead to Section 3",""))</f>
        <v/>
      </c>
      <c r="H53" s="329"/>
      <c r="I53" s="155"/>
      <c r="J53" s="101"/>
      <c r="N53" s="129"/>
      <c r="S53" s="139"/>
    </row>
    <row r="54" spans="1:20 16383:16384" s="128" customFormat="1" ht="12" customHeight="1" thickBot="1">
      <c r="A54" s="281"/>
      <c r="B54" s="101" t="s">
        <v>171</v>
      </c>
      <c r="C54" s="101"/>
      <c r="D54" s="265" t="s">
        <v>106</v>
      </c>
      <c r="E54" s="105" t="s">
        <v>33</v>
      </c>
      <c r="F54" s="265" t="s">
        <v>105</v>
      </c>
      <c r="G54" s="106">
        <v>3</v>
      </c>
      <c r="H54" s="156" t="s">
        <v>44</v>
      </c>
      <c r="I54" s="160"/>
      <c r="J54" s="101"/>
      <c r="N54" s="129"/>
      <c r="R54" s="129"/>
      <c r="S54" s="139"/>
    </row>
    <row r="55" spans="1:20 16383:16384" s="128" customFormat="1" ht="12" hidden="1" customHeight="1">
      <c r="A55" s="281"/>
      <c r="B55" s="158" t="s">
        <v>189</v>
      </c>
      <c r="C55" s="159"/>
      <c r="D55" s="159"/>
      <c r="E55" s="159"/>
      <c r="F55" s="159"/>
      <c r="H55" s="151"/>
      <c r="I55" s="107" t="str">
        <f>IF(G52="no",(I38/VLOOKUP(E54,A80:B93,2,FALSE))*(G54),"")</f>
        <v/>
      </c>
      <c r="J55" s="284"/>
      <c r="N55" s="129"/>
      <c r="R55" s="129"/>
      <c r="S55" s="139"/>
      <c r="T55" s="129"/>
    </row>
    <row r="56" spans="1:20 16383:16384" s="128" customFormat="1" ht="12" customHeight="1" thickBot="1">
      <c r="A56" s="282"/>
      <c r="B56" s="330" t="s">
        <v>206</v>
      </c>
      <c r="C56" s="330"/>
      <c r="D56" s="330"/>
      <c r="E56" s="180"/>
      <c r="F56" s="180"/>
      <c r="G56" s="172" t="str">
        <f>IF(AND(E54="February",G54&gt;29),"Date Error",
IF(AND(E54="April",G54&gt;30),"Date Error",
IF(AND(E54="June",G54&gt;30),"Date Error",
IF(AND(E54="September",G54&gt;30),"Date Error",
IF(AND(E54="November",G54&gt;30),"Date Error","")))))</f>
        <v/>
      </c>
      <c r="H56" s="151"/>
      <c r="I56" s="108" t="str">
        <f>IFERROR(IF(G52="no",((I39+I40)/VLOOKUP(E54,A80:B93,2,FALSE))*(G54),""),0)</f>
        <v/>
      </c>
      <c r="J56" s="284"/>
      <c r="N56" s="129"/>
      <c r="R56" s="129"/>
      <c r="S56" s="139"/>
    </row>
    <row r="57" spans="1:20 16383:16384" s="128" customFormat="1" ht="12" customHeight="1" thickBot="1">
      <c r="A57" s="282"/>
      <c r="B57" s="326" t="s">
        <v>208</v>
      </c>
      <c r="C57" s="327"/>
      <c r="D57" s="327"/>
      <c r="E57" s="327"/>
      <c r="F57" s="327"/>
      <c r="G57" s="327"/>
      <c r="H57" s="327"/>
      <c r="I57" s="109">
        <f>IFERROR((I55+I56),0)</f>
        <v>0</v>
      </c>
      <c r="J57" s="101"/>
      <c r="N57" s="129"/>
      <c r="R57" s="129"/>
      <c r="S57" s="139"/>
    </row>
    <row r="58" spans="1:20 16383:16384" s="128" customFormat="1" ht="12" customHeight="1" thickBot="1">
      <c r="A58" s="282" t="s">
        <v>201</v>
      </c>
      <c r="B58" s="101"/>
      <c r="C58" s="152"/>
      <c r="D58" s="152"/>
      <c r="E58" s="151"/>
      <c r="F58" s="151"/>
      <c r="G58" s="169"/>
      <c r="H58" s="169"/>
      <c r="I58" s="161"/>
      <c r="J58" s="101"/>
    </row>
    <row r="59" spans="1:20 16383:16384" s="128" customFormat="1" ht="12" customHeight="1">
      <c r="A59" s="162"/>
      <c r="B59" s="101" t="s">
        <v>117</v>
      </c>
      <c r="C59" s="152"/>
      <c r="D59" s="152"/>
      <c r="E59" s="151"/>
      <c r="F59" s="151"/>
      <c r="H59" s="173" t="str">
        <f>IF(I59&gt;2000,"High $ Alert", "")</f>
        <v/>
      </c>
      <c r="I59" s="110"/>
      <c r="J59" s="101"/>
      <c r="K59" s="138"/>
      <c r="L59" s="138"/>
      <c r="M59" s="129"/>
      <c r="N59" s="129"/>
    </row>
    <row r="60" spans="1:20 16383:16384" s="128" customFormat="1" ht="12" customHeight="1">
      <c r="A60" s="162"/>
      <c r="B60" s="101" t="s">
        <v>269</v>
      </c>
      <c r="C60" s="152"/>
      <c r="D60" s="152"/>
      <c r="E60" s="172" t="str">
        <f>IF((AND(G52="No", G45="No")),"1st &amp; last months' rent were prorated, enter 0","")</f>
        <v/>
      </c>
      <c r="F60" s="172"/>
      <c r="H60" s="173" t="str">
        <f>IF(I60&gt;I38*2,"High $ Alert", "")</f>
        <v/>
      </c>
      <c r="I60" s="111"/>
      <c r="J60" s="101"/>
      <c r="K60" s="138"/>
      <c r="L60" s="138"/>
      <c r="N60" s="129"/>
    </row>
    <row r="61" spans="1:20 16383:16384" s="128" customFormat="1" ht="12" customHeight="1">
      <c r="A61" s="162"/>
      <c r="B61" s="101" t="s">
        <v>270</v>
      </c>
      <c r="C61" s="152"/>
      <c r="D61" s="152"/>
      <c r="E61" s="151"/>
      <c r="F61" s="151"/>
      <c r="H61" s="173" t="str">
        <f>IF(I61&gt;1000,"High $ Alert", "")</f>
        <v/>
      </c>
      <c r="I61" s="111"/>
      <c r="J61" s="101"/>
      <c r="N61" s="129"/>
    </row>
    <row r="62" spans="1:20 16383:16384" s="128" customFormat="1" ht="12" customHeight="1" thickBot="1">
      <c r="A62" s="162"/>
      <c r="B62" s="101" t="s">
        <v>118</v>
      </c>
      <c r="C62" s="269" t="s">
        <v>327</v>
      </c>
      <c r="D62" s="267"/>
      <c r="E62" s="267"/>
      <c r="F62" s="267"/>
      <c r="G62" s="267"/>
      <c r="H62" s="268"/>
      <c r="I62" s="112"/>
      <c r="J62" s="101"/>
      <c r="N62" s="129"/>
      <c r="R62" s="129"/>
      <c r="S62" s="139"/>
    </row>
    <row r="63" spans="1:20 16383:16384" s="128" customFormat="1" ht="12" customHeight="1" thickBot="1">
      <c r="A63" s="162"/>
      <c r="B63" s="326" t="s">
        <v>177</v>
      </c>
      <c r="C63" s="327"/>
      <c r="D63" s="327"/>
      <c r="E63" s="327"/>
      <c r="F63" s="327"/>
      <c r="G63" s="327"/>
      <c r="H63" s="327"/>
      <c r="I63" s="109">
        <f>SUM(I50:I62)</f>
        <v>0</v>
      </c>
      <c r="J63" s="101"/>
      <c r="N63" s="129"/>
      <c r="R63" s="129"/>
      <c r="S63" s="139"/>
    </row>
    <row r="64" spans="1:20 16383:16384" s="128" customFormat="1" ht="12" customHeight="1" thickBot="1">
      <c r="A64" s="342" t="s">
        <v>188</v>
      </c>
      <c r="B64" s="343"/>
      <c r="C64" s="343"/>
      <c r="D64" s="343"/>
      <c r="E64" s="343"/>
      <c r="F64" s="343"/>
      <c r="G64" s="343"/>
      <c r="H64" s="343"/>
      <c r="I64" s="344"/>
      <c r="J64" s="101"/>
      <c r="R64" s="129"/>
      <c r="S64" s="139"/>
      <c r="XFC64" s="129" t="s">
        <v>162</v>
      </c>
      <c r="XFD64" s="133" t="str">
        <f>I39</f>
        <v>$0</v>
      </c>
    </row>
    <row r="65" spans="1:20 16383:16384" s="128" customFormat="1" ht="12" customHeight="1" thickBot="1">
      <c r="A65" s="346" t="s">
        <v>163</v>
      </c>
      <c r="B65" s="347"/>
      <c r="C65" s="347"/>
      <c r="D65" s="265" t="s">
        <v>164</v>
      </c>
      <c r="E65" s="113"/>
      <c r="F65" s="345" t="s">
        <v>165</v>
      </c>
      <c r="G65" s="339"/>
      <c r="H65" s="113"/>
      <c r="I65" s="165">
        <v>5</v>
      </c>
      <c r="J65" s="101"/>
      <c r="R65" s="129"/>
      <c r="S65" s="139"/>
      <c r="XFC65" s="140" t="s">
        <v>166</v>
      </c>
      <c r="XFD65" s="133" t="str">
        <f>I39</f>
        <v>$0</v>
      </c>
    </row>
    <row r="66" spans="1:20 16383:16384" s="128" customFormat="1" ht="12" customHeight="1" thickBot="1">
      <c r="A66" s="289" t="s">
        <v>202</v>
      </c>
      <c r="B66" s="163"/>
      <c r="C66" s="163"/>
      <c r="D66" s="265"/>
      <c r="E66" s="114"/>
      <c r="F66" s="353" t="str">
        <f>IF(H65&gt;E65+366, "Rental assistance may not exceed 12 mos","")</f>
        <v/>
      </c>
      <c r="G66" s="354"/>
      <c r="H66" s="354"/>
      <c r="I66" s="164"/>
      <c r="J66" s="101"/>
      <c r="R66" s="129"/>
      <c r="S66" s="139"/>
      <c r="XFC66" s="140" t="s">
        <v>167</v>
      </c>
      <c r="XFD66" s="133">
        <f>13*XFC39</f>
        <v>0</v>
      </c>
    </row>
    <row r="67" spans="1:20 16383:16384" s="128" customFormat="1" ht="12" customHeight="1">
      <c r="A67" s="346" t="s">
        <v>203</v>
      </c>
      <c r="B67" s="347"/>
      <c r="C67" s="347"/>
      <c r="D67" s="347"/>
      <c r="E67" s="347"/>
      <c r="F67" s="347"/>
      <c r="G67" s="151"/>
      <c r="H67" s="265" t="s">
        <v>168</v>
      </c>
      <c r="I67" s="136">
        <f>(E66*I42)</f>
        <v>0</v>
      </c>
      <c r="J67" s="101"/>
      <c r="R67" s="129"/>
      <c r="S67" s="139"/>
      <c r="XFC67" s="141" t="s">
        <v>169</v>
      </c>
      <c r="XFD67" s="133">
        <f>SUM(XFD60:XFD66)</f>
        <v>0</v>
      </c>
    </row>
    <row r="68" spans="1:20 16383:16384" s="128" customFormat="1" ht="12" customHeight="1" thickBot="1">
      <c r="A68" s="348" t="str">
        <f>IF((I67&gt;5000),"Prior Written County Approval Required","")</f>
        <v/>
      </c>
      <c r="B68" s="349"/>
      <c r="C68" s="349"/>
      <c r="D68" s="349"/>
      <c r="E68" s="349"/>
      <c r="F68" s="349"/>
      <c r="G68" s="349"/>
      <c r="H68" s="349"/>
      <c r="I68" s="350"/>
      <c r="J68" s="101"/>
      <c r="R68" s="129"/>
      <c r="S68" s="142"/>
      <c r="XFC68" s="141" t="s">
        <v>170</v>
      </c>
      <c r="XFD68" s="133">
        <f>XFD67-XFD60</f>
        <v>0</v>
      </c>
    </row>
    <row r="69" spans="1:20 16383:16384" s="128" customFormat="1" ht="12" customHeight="1" thickBot="1">
      <c r="A69" s="281"/>
      <c r="B69" s="326" t="s">
        <v>194</v>
      </c>
      <c r="C69" s="327"/>
      <c r="D69" s="327"/>
      <c r="E69" s="327"/>
      <c r="F69" s="327"/>
      <c r="G69" s="327"/>
      <c r="H69" s="118" t="s">
        <v>168</v>
      </c>
      <c r="I69" s="104">
        <f>I67+I59+I60+I61+I62+I50+I57</f>
        <v>0</v>
      </c>
      <c r="J69" s="101"/>
      <c r="N69" s="129"/>
      <c r="S69" s="139"/>
      <c r="T69" s="133"/>
    </row>
    <row r="70" spans="1:20 16383:16384" s="128" customFormat="1" ht="12" customHeight="1">
      <c r="A70" s="290" t="str">
        <f>IF((I69&gt;5000),"Prior Written County Approval Required","")</f>
        <v/>
      </c>
      <c r="B70" s="283"/>
      <c r="C70" s="283"/>
      <c r="D70" s="283"/>
      <c r="E70" s="283"/>
      <c r="F70" s="283"/>
      <c r="G70" s="283"/>
      <c r="H70" s="283"/>
      <c r="I70" s="291"/>
      <c r="J70" s="283"/>
      <c r="N70" s="129"/>
      <c r="Q70" s="130"/>
      <c r="R70" s="133"/>
    </row>
    <row r="71" spans="1:20 16383:16384" ht="51">
      <c r="A71" s="292" t="s">
        <v>178</v>
      </c>
      <c r="B71" s="351"/>
      <c r="C71" s="351"/>
      <c r="D71" s="351"/>
      <c r="E71" s="351"/>
      <c r="F71" s="351"/>
      <c r="G71" s="351"/>
      <c r="H71" s="351"/>
      <c r="I71" s="352"/>
      <c r="J71" s="121"/>
      <c r="M71" s="91"/>
      <c r="N71" s="121"/>
    </row>
    <row r="72" spans="1:20 16383:16384">
      <c r="A72" s="293" t="s">
        <v>179</v>
      </c>
      <c r="B72" s="378"/>
      <c r="C72" s="378"/>
      <c r="D72" s="378"/>
      <c r="E72" s="378"/>
      <c r="F72" s="379"/>
      <c r="G72" s="250" t="s">
        <v>70</v>
      </c>
      <c r="H72" s="380"/>
      <c r="I72" s="381"/>
      <c r="J72" s="121"/>
      <c r="M72" s="91"/>
      <c r="N72" s="121"/>
    </row>
    <row r="73" spans="1:20 16383:16384">
      <c r="A73" s="382"/>
      <c r="B73" s="383"/>
      <c r="C73" s="383"/>
      <c r="D73" s="383"/>
      <c r="E73" s="383"/>
      <c r="F73" s="384"/>
      <c r="G73" s="143"/>
      <c r="I73" s="294"/>
      <c r="J73" s="121"/>
      <c r="M73" s="91"/>
      <c r="N73" s="121"/>
    </row>
    <row r="74" spans="1:20 16383:16384" ht="13.5" thickBot="1">
      <c r="A74" s="295" t="s">
        <v>181</v>
      </c>
      <c r="B74" s="374"/>
      <c r="C74" s="374"/>
      <c r="D74" s="374"/>
      <c r="E74" s="374"/>
      <c r="F74" s="375"/>
      <c r="G74" s="296"/>
      <c r="H74" s="376"/>
      <c r="I74" s="377"/>
      <c r="J74" s="121"/>
      <c r="M74" s="91"/>
      <c r="N74" s="121"/>
    </row>
    <row r="75" spans="1:20 16383:16384" s="263" customFormat="1" ht="12.6" hidden="1" customHeight="1">
      <c r="A75" s="273" t="s">
        <v>187</v>
      </c>
      <c r="D75" s="262" t="s">
        <v>187</v>
      </c>
      <c r="I75" s="274"/>
      <c r="J75" s="262"/>
      <c r="N75" s="262"/>
    </row>
    <row r="76" spans="1:20 16383:16384" s="263" customFormat="1" ht="12.6" hidden="1" customHeight="1">
      <c r="A76" s="275" t="s">
        <v>47</v>
      </c>
      <c r="B76" s="276"/>
      <c r="D76" s="262" t="s">
        <v>148</v>
      </c>
      <c r="I76" s="274"/>
      <c r="N76" s="262"/>
    </row>
    <row r="77" spans="1:20 16383:16384" s="263" customFormat="1" ht="12.6" hidden="1" customHeight="1">
      <c r="A77" s="275" t="s">
        <v>48</v>
      </c>
      <c r="B77" s="276"/>
      <c r="D77" s="262" t="s">
        <v>331</v>
      </c>
      <c r="I77" s="274"/>
      <c r="N77" s="262"/>
    </row>
    <row r="78" spans="1:20 16383:16384" s="263" customFormat="1" ht="12.6" hidden="1" customHeight="1">
      <c r="A78" s="277" t="s">
        <v>252</v>
      </c>
      <c r="B78" s="262"/>
      <c r="D78" s="262" t="s">
        <v>250</v>
      </c>
      <c r="I78" s="274"/>
      <c r="N78" s="262"/>
    </row>
    <row r="79" spans="1:20 16383:16384" s="263" customFormat="1" ht="12.6" hidden="1" customHeight="1">
      <c r="A79" s="277"/>
      <c r="B79" s="262"/>
      <c r="D79" s="262" t="s">
        <v>149</v>
      </c>
      <c r="I79" s="274"/>
      <c r="N79" s="262"/>
    </row>
    <row r="80" spans="1:20 16383:16384" s="263" customFormat="1" ht="12.6" hidden="1" customHeight="1">
      <c r="A80" s="275"/>
      <c r="B80" s="276"/>
      <c r="D80" s="262" t="s">
        <v>251</v>
      </c>
      <c r="I80" s="274"/>
      <c r="N80" s="262"/>
    </row>
    <row r="81" spans="1:14" s="263" customFormat="1" ht="12.6" hidden="1" customHeight="1">
      <c r="A81" s="275" t="s">
        <v>187</v>
      </c>
      <c r="B81" s="276"/>
      <c r="D81" s="263" t="s">
        <v>272</v>
      </c>
      <c r="I81" s="274"/>
      <c r="N81" s="262"/>
    </row>
    <row r="82" spans="1:14" s="263" customFormat="1" ht="12.6" hidden="1" customHeight="1">
      <c r="A82" s="275" t="s">
        <v>33</v>
      </c>
      <c r="B82" s="276">
        <v>31</v>
      </c>
      <c r="D82" s="262" t="s">
        <v>334</v>
      </c>
      <c r="I82" s="274"/>
      <c r="M82" s="278"/>
      <c r="N82" s="262"/>
    </row>
    <row r="83" spans="1:14" s="263" customFormat="1" ht="12.6" hidden="1" customHeight="1">
      <c r="A83" s="275" t="s">
        <v>34</v>
      </c>
      <c r="B83" s="276">
        <v>28</v>
      </c>
      <c r="I83" s="274"/>
      <c r="M83" s="278"/>
      <c r="N83" s="262"/>
    </row>
    <row r="84" spans="1:14" s="263" customFormat="1" ht="12.6" hidden="1" customHeight="1">
      <c r="A84" s="275" t="s">
        <v>35</v>
      </c>
      <c r="B84" s="276">
        <v>31</v>
      </c>
      <c r="I84" s="274"/>
      <c r="M84" s="278"/>
      <c r="N84" s="262"/>
    </row>
    <row r="85" spans="1:14" s="263" customFormat="1" ht="12.6" hidden="1" customHeight="1">
      <c r="A85" s="275" t="s">
        <v>36</v>
      </c>
      <c r="B85" s="276">
        <v>30</v>
      </c>
      <c r="I85" s="274"/>
      <c r="M85" s="278"/>
      <c r="N85" s="262"/>
    </row>
    <row r="86" spans="1:14" s="263" customFormat="1" ht="12.6" hidden="1" customHeight="1">
      <c r="A86" s="275" t="s">
        <v>37</v>
      </c>
      <c r="B86" s="276">
        <v>31</v>
      </c>
      <c r="I86" s="274"/>
      <c r="M86" s="278"/>
      <c r="N86" s="262"/>
    </row>
    <row r="87" spans="1:14" s="263" customFormat="1" ht="12.6" hidden="1" customHeight="1">
      <c r="A87" s="275" t="s">
        <v>38</v>
      </c>
      <c r="B87" s="276">
        <v>30</v>
      </c>
      <c r="I87" s="274"/>
      <c r="K87" s="278"/>
      <c r="L87" s="278"/>
      <c r="M87" s="278"/>
      <c r="N87" s="262"/>
    </row>
    <row r="88" spans="1:14" s="263" customFormat="1" ht="12.6" hidden="1" customHeight="1">
      <c r="A88" s="275" t="s">
        <v>39</v>
      </c>
      <c r="B88" s="276">
        <v>31</v>
      </c>
      <c r="I88" s="274"/>
      <c r="K88" s="278"/>
      <c r="L88" s="278"/>
      <c r="M88" s="278"/>
      <c r="N88" s="262"/>
    </row>
    <row r="89" spans="1:14" s="263" customFormat="1" ht="12.6" hidden="1" customHeight="1">
      <c r="A89" s="275" t="s">
        <v>40</v>
      </c>
      <c r="B89" s="276">
        <v>31</v>
      </c>
      <c r="I89" s="274"/>
      <c r="K89" s="278"/>
      <c r="L89" s="278"/>
      <c r="M89" s="278"/>
      <c r="N89" s="262"/>
    </row>
    <row r="90" spans="1:14" s="263" customFormat="1" ht="12.6" hidden="1" customHeight="1">
      <c r="A90" s="275" t="s">
        <v>41</v>
      </c>
      <c r="B90" s="276">
        <v>30</v>
      </c>
      <c r="I90" s="274"/>
      <c r="K90" s="278"/>
      <c r="L90" s="278"/>
      <c r="M90" s="278"/>
      <c r="N90" s="262"/>
    </row>
    <row r="91" spans="1:14" s="263" customFormat="1" ht="12.6" hidden="1" customHeight="1">
      <c r="A91" s="275" t="s">
        <v>42</v>
      </c>
      <c r="B91" s="276">
        <v>31</v>
      </c>
      <c r="I91" s="274"/>
      <c r="K91" s="278"/>
      <c r="L91" s="278"/>
      <c r="M91" s="278"/>
      <c r="N91" s="262"/>
    </row>
    <row r="92" spans="1:14" s="263" customFormat="1" ht="12.6" hidden="1" customHeight="1">
      <c r="A92" s="275" t="s">
        <v>55</v>
      </c>
      <c r="B92" s="276">
        <v>30</v>
      </c>
      <c r="I92" s="274"/>
      <c r="K92" s="278"/>
      <c r="L92" s="278"/>
      <c r="M92" s="278"/>
      <c r="N92" s="262"/>
    </row>
    <row r="93" spans="1:14" s="263" customFormat="1" ht="12.6" hidden="1" customHeight="1">
      <c r="A93" s="275" t="s">
        <v>43</v>
      </c>
      <c r="B93" s="276">
        <v>31</v>
      </c>
      <c r="I93" s="274"/>
      <c r="M93" s="279"/>
      <c r="N93" s="262"/>
    </row>
    <row r="94" spans="1:14" s="263" customFormat="1" ht="12.6" hidden="1" customHeight="1">
      <c r="A94" s="273"/>
      <c r="I94" s="274"/>
      <c r="M94" s="279"/>
      <c r="N94" s="262"/>
    </row>
    <row r="95" spans="1:14" s="263" customFormat="1" ht="12.6" hidden="1" customHeight="1">
      <c r="A95" s="273"/>
      <c r="I95" s="274"/>
      <c r="M95" s="279"/>
      <c r="N95" s="262"/>
    </row>
    <row r="96" spans="1:14" s="263" customFormat="1" ht="12.6" hidden="1" customHeight="1">
      <c r="A96" s="273"/>
      <c r="I96" s="274"/>
      <c r="M96" s="279"/>
      <c r="N96" s="279"/>
    </row>
    <row r="97" spans="1:14" s="263" customFormat="1" ht="12.6" hidden="1" customHeight="1">
      <c r="A97" s="273"/>
      <c r="I97" s="274"/>
      <c r="M97" s="279"/>
      <c r="N97" s="279"/>
    </row>
    <row r="98" spans="1:14" s="263" customFormat="1" ht="12.6" hidden="1" customHeight="1">
      <c r="A98" s="273"/>
      <c r="I98" s="274"/>
      <c r="M98" s="279"/>
      <c r="N98" s="279"/>
    </row>
    <row r="99" spans="1:14" s="263" customFormat="1" ht="12.6" hidden="1" customHeight="1">
      <c r="A99" s="273"/>
      <c r="I99" s="274"/>
      <c r="M99" s="279"/>
      <c r="N99" s="279"/>
    </row>
    <row r="100" spans="1:14" s="263" customFormat="1" ht="12.6" hidden="1" customHeight="1">
      <c r="A100" s="273"/>
      <c r="I100" s="274"/>
      <c r="M100" s="279"/>
      <c r="N100" s="279"/>
    </row>
    <row r="101" spans="1:14" s="263" customFormat="1" ht="12.6" hidden="1" customHeight="1">
      <c r="A101" s="273"/>
      <c r="I101" s="274"/>
      <c r="M101" s="279"/>
      <c r="N101" s="279"/>
    </row>
    <row r="102" spans="1:14" s="263" customFormat="1" ht="12.6" hidden="1" customHeight="1">
      <c r="A102" s="273"/>
      <c r="I102" s="274"/>
      <c r="M102" s="279"/>
      <c r="N102" s="279"/>
    </row>
    <row r="103" spans="1:14" s="263" customFormat="1" ht="12.6" hidden="1" customHeight="1">
      <c r="A103" s="273"/>
      <c r="I103" s="274"/>
      <c r="M103" s="279"/>
      <c r="N103" s="279"/>
    </row>
    <row r="104" spans="1:14" s="263" customFormat="1" ht="12.6" hidden="1" customHeight="1">
      <c r="A104" s="273"/>
      <c r="I104" s="274"/>
      <c r="M104" s="279"/>
      <c r="N104" s="279"/>
    </row>
    <row r="105" spans="1:14" s="263" customFormat="1" ht="12.6" hidden="1" customHeight="1">
      <c r="A105" s="273"/>
      <c r="I105" s="274"/>
      <c r="M105" s="279"/>
      <c r="N105" s="279"/>
    </row>
    <row r="106" spans="1:14" s="263" customFormat="1" ht="12.6" hidden="1" customHeight="1">
      <c r="A106" s="273"/>
      <c r="I106" s="274"/>
      <c r="M106" s="279"/>
      <c r="N106" s="279"/>
    </row>
    <row r="107" spans="1:14" s="263" customFormat="1" ht="12.6" hidden="1" customHeight="1">
      <c r="A107" s="273"/>
      <c r="I107" s="274"/>
      <c r="M107" s="279"/>
      <c r="N107" s="279"/>
    </row>
    <row r="108" spans="1:14" s="263" customFormat="1" ht="12.6" hidden="1" customHeight="1">
      <c r="A108" s="273"/>
      <c r="I108" s="274"/>
      <c r="M108" s="279"/>
      <c r="N108" s="279"/>
    </row>
    <row r="109" spans="1:14" s="263" customFormat="1" ht="12.6" hidden="1" customHeight="1">
      <c r="A109" s="273"/>
      <c r="I109" s="274"/>
      <c r="M109" s="279"/>
      <c r="N109" s="279"/>
    </row>
    <row r="110" spans="1:14" s="263" customFormat="1" ht="12.6" customHeight="1">
      <c r="A110" s="273"/>
      <c r="I110" s="274"/>
      <c r="M110" s="279"/>
      <c r="N110" s="279"/>
    </row>
    <row r="111" spans="1:14" s="263" customFormat="1" ht="12.6" customHeight="1">
      <c r="A111" s="273"/>
      <c r="I111" s="274"/>
      <c r="M111" s="279"/>
      <c r="N111" s="279"/>
    </row>
    <row r="112" spans="1:14" s="263" customFormat="1" ht="12.6" customHeight="1">
      <c r="A112" s="273"/>
      <c r="I112" s="274"/>
      <c r="M112" s="279"/>
      <c r="N112" s="279"/>
    </row>
    <row r="113" spans="1:14" s="263" customFormat="1" ht="12.6" customHeight="1">
      <c r="A113" s="273"/>
      <c r="I113" s="274"/>
      <c r="M113" s="279"/>
      <c r="N113" s="279"/>
    </row>
    <row r="114" spans="1:14" s="263" customFormat="1" ht="12.6" customHeight="1">
      <c r="I114" s="274"/>
      <c r="M114" s="279"/>
      <c r="N114" s="279"/>
    </row>
    <row r="115" spans="1:14" s="263" customFormat="1" ht="12.6" customHeight="1">
      <c r="I115" s="274"/>
      <c r="M115" s="279"/>
      <c r="N115" s="279"/>
    </row>
    <row r="116" spans="1:14" s="263" customFormat="1" ht="12.6" customHeight="1">
      <c r="I116" s="274"/>
      <c r="M116" s="279"/>
      <c r="N116" s="279"/>
    </row>
    <row r="117" spans="1:14" s="263" customFormat="1" ht="12.6" customHeight="1">
      <c r="I117" s="274"/>
      <c r="M117" s="279"/>
      <c r="N117" s="279"/>
    </row>
    <row r="118" spans="1:14" s="263" customFormat="1" ht="12.6" customHeight="1">
      <c r="I118" s="274"/>
      <c r="M118" s="279"/>
      <c r="N118" s="279"/>
    </row>
    <row r="119" spans="1:14" s="263" customFormat="1" ht="12.6" customHeight="1">
      <c r="I119" s="274"/>
      <c r="M119" s="279"/>
      <c r="N119" s="279"/>
    </row>
    <row r="120" spans="1:14" s="263" customFormat="1" ht="12.6" customHeight="1">
      <c r="I120" s="274"/>
      <c r="M120" s="279"/>
      <c r="N120" s="279"/>
    </row>
    <row r="121" spans="1:14" s="263" customFormat="1" ht="12.6" customHeight="1">
      <c r="I121" s="274"/>
      <c r="M121" s="279"/>
      <c r="N121" s="279"/>
    </row>
    <row r="122" spans="1:14" s="263" customFormat="1" ht="12.6" customHeight="1">
      <c r="I122" s="274"/>
      <c r="M122" s="279"/>
      <c r="N122" s="279"/>
    </row>
    <row r="123" spans="1:14" s="263" customFormat="1" ht="12.6" customHeight="1">
      <c r="I123" s="274"/>
      <c r="M123" s="279"/>
      <c r="N123" s="279"/>
    </row>
    <row r="124" spans="1:14" s="263" customFormat="1" ht="12.6" customHeight="1">
      <c r="I124" s="274"/>
      <c r="M124" s="279"/>
      <c r="N124" s="279"/>
    </row>
    <row r="125" spans="1:14" s="263" customFormat="1" ht="12.6" customHeight="1">
      <c r="I125" s="274"/>
      <c r="M125" s="279"/>
      <c r="N125" s="279"/>
    </row>
    <row r="126" spans="1:14" s="263" customFormat="1" ht="12.6" customHeight="1">
      <c r="I126" s="274"/>
      <c r="M126" s="279"/>
      <c r="N126" s="279"/>
    </row>
    <row r="127" spans="1:14" s="263" customFormat="1" ht="12.6" customHeight="1">
      <c r="I127" s="274"/>
      <c r="M127" s="279"/>
      <c r="N127" s="279"/>
    </row>
    <row r="128" spans="1:14" s="263" customFormat="1" ht="12.6" customHeight="1">
      <c r="I128" s="274"/>
      <c r="M128" s="279"/>
      <c r="N128" s="279"/>
    </row>
    <row r="129" spans="9:14" s="263" customFormat="1" ht="12.6" customHeight="1">
      <c r="I129" s="274"/>
      <c r="M129" s="279"/>
      <c r="N129" s="279"/>
    </row>
    <row r="130" spans="9:14" s="263" customFormat="1" ht="12.6" customHeight="1">
      <c r="I130" s="274"/>
      <c r="M130" s="279"/>
      <c r="N130" s="279"/>
    </row>
    <row r="131" spans="9:14" s="263" customFormat="1" ht="12.6" customHeight="1">
      <c r="I131" s="274"/>
      <c r="M131" s="279"/>
      <c r="N131" s="279"/>
    </row>
    <row r="132" spans="9:14" s="263" customFormat="1" ht="12.6" customHeight="1">
      <c r="I132" s="274"/>
      <c r="M132" s="279"/>
      <c r="N132" s="279"/>
    </row>
    <row r="133" spans="9:14" s="263" customFormat="1" ht="12.6" customHeight="1">
      <c r="I133" s="274"/>
      <c r="M133" s="279"/>
      <c r="N133" s="279"/>
    </row>
    <row r="134" spans="9:14" s="263" customFormat="1" ht="12.6" customHeight="1">
      <c r="I134" s="274"/>
      <c r="M134" s="279"/>
      <c r="N134" s="279"/>
    </row>
    <row r="135" spans="9:14" s="263" customFormat="1" ht="12.6" customHeight="1">
      <c r="I135" s="274"/>
      <c r="M135" s="279"/>
      <c r="N135" s="279"/>
    </row>
    <row r="136" spans="9:14" s="263" customFormat="1" ht="12.6" customHeight="1">
      <c r="I136" s="274"/>
      <c r="M136" s="279"/>
      <c r="N136" s="279"/>
    </row>
    <row r="137" spans="9:14" s="263" customFormat="1" ht="12.6" customHeight="1">
      <c r="I137" s="274"/>
      <c r="M137" s="279"/>
      <c r="N137" s="279"/>
    </row>
    <row r="138" spans="9:14" s="263" customFormat="1" ht="12.6" customHeight="1">
      <c r="I138" s="274"/>
      <c r="M138" s="279"/>
      <c r="N138" s="279"/>
    </row>
    <row r="139" spans="9:14" s="263" customFormat="1" ht="12.6" customHeight="1">
      <c r="I139" s="274"/>
      <c r="M139" s="279"/>
      <c r="N139" s="279"/>
    </row>
    <row r="140" spans="9:14" s="263" customFormat="1" ht="12.6" customHeight="1">
      <c r="I140" s="274"/>
      <c r="M140" s="279"/>
      <c r="N140" s="279"/>
    </row>
    <row r="141" spans="9:14" s="263" customFormat="1" ht="12.6" customHeight="1">
      <c r="I141" s="274"/>
      <c r="M141" s="279"/>
      <c r="N141" s="279"/>
    </row>
    <row r="142" spans="9:14" s="263" customFormat="1" ht="12.6" customHeight="1">
      <c r="I142" s="274"/>
      <c r="M142" s="279"/>
      <c r="N142" s="279"/>
    </row>
    <row r="143" spans="9:14" s="263" customFormat="1" ht="12.6" customHeight="1">
      <c r="I143" s="274"/>
      <c r="M143" s="279"/>
      <c r="N143" s="279"/>
    </row>
    <row r="144" spans="9:14" s="263" customFormat="1" ht="12.6" customHeight="1">
      <c r="I144" s="274"/>
      <c r="M144" s="279"/>
      <c r="N144" s="279"/>
    </row>
    <row r="145" spans="9:14" s="263" customFormat="1" ht="12.6" customHeight="1">
      <c r="I145" s="274"/>
      <c r="M145" s="279"/>
      <c r="N145" s="279"/>
    </row>
    <row r="146" spans="9:14" s="263" customFormat="1" ht="12.6" customHeight="1">
      <c r="I146" s="274"/>
      <c r="M146" s="279"/>
      <c r="N146" s="279"/>
    </row>
    <row r="147" spans="9:14" s="263" customFormat="1" ht="12.6" customHeight="1">
      <c r="I147" s="274"/>
      <c r="M147" s="279"/>
      <c r="N147" s="279"/>
    </row>
    <row r="148" spans="9:14" s="263" customFormat="1" ht="12.6" customHeight="1">
      <c r="I148" s="274"/>
      <c r="M148" s="279"/>
      <c r="N148" s="279"/>
    </row>
    <row r="149" spans="9:14" s="263" customFormat="1" ht="12.6" customHeight="1">
      <c r="I149" s="274"/>
      <c r="M149" s="279"/>
      <c r="N149" s="279"/>
    </row>
    <row r="150" spans="9:14" s="263" customFormat="1" ht="12.6" customHeight="1">
      <c r="I150" s="274"/>
      <c r="M150" s="279"/>
      <c r="N150" s="279"/>
    </row>
    <row r="151" spans="9:14" s="263" customFormat="1" ht="12.6" customHeight="1">
      <c r="I151" s="274"/>
      <c r="M151" s="279"/>
      <c r="N151" s="279"/>
    </row>
    <row r="152" spans="9:14" s="263" customFormat="1" ht="12.6" customHeight="1">
      <c r="I152" s="274"/>
      <c r="M152" s="279"/>
      <c r="N152" s="279"/>
    </row>
    <row r="153" spans="9:14" s="263" customFormat="1" ht="12.6" customHeight="1">
      <c r="I153" s="274"/>
      <c r="M153" s="279"/>
      <c r="N153" s="279"/>
    </row>
    <row r="154" spans="9:14" s="263" customFormat="1" ht="12.6" customHeight="1">
      <c r="I154" s="274"/>
      <c r="M154" s="279"/>
      <c r="N154" s="279"/>
    </row>
    <row r="155" spans="9:14" s="263" customFormat="1" ht="12.6" customHeight="1">
      <c r="I155" s="274"/>
      <c r="M155" s="279"/>
      <c r="N155" s="279"/>
    </row>
    <row r="156" spans="9:14" s="263" customFormat="1" ht="12.6" customHeight="1">
      <c r="I156" s="274"/>
      <c r="M156" s="279"/>
      <c r="N156" s="279"/>
    </row>
    <row r="157" spans="9:14" s="263" customFormat="1" ht="12.6" customHeight="1">
      <c r="I157" s="274"/>
      <c r="M157" s="279"/>
      <c r="N157" s="279"/>
    </row>
    <row r="158" spans="9:14" s="263" customFormat="1" ht="12.6" customHeight="1">
      <c r="I158" s="274"/>
      <c r="M158" s="279"/>
      <c r="N158" s="279"/>
    </row>
    <row r="159" spans="9:14" s="263" customFormat="1" ht="12.6" customHeight="1">
      <c r="I159" s="274"/>
      <c r="M159" s="279"/>
      <c r="N159" s="279"/>
    </row>
    <row r="160" spans="9:14" s="263" customFormat="1" ht="12.6" customHeight="1">
      <c r="I160" s="274"/>
      <c r="M160" s="279"/>
      <c r="N160" s="279"/>
    </row>
    <row r="161" spans="9:14" s="263" customFormat="1" ht="12.6" customHeight="1">
      <c r="I161" s="274"/>
      <c r="M161" s="279"/>
      <c r="N161" s="279"/>
    </row>
    <row r="162" spans="9:14" s="263" customFormat="1" ht="12.6" customHeight="1">
      <c r="I162" s="274"/>
      <c r="M162" s="279"/>
      <c r="N162" s="279"/>
    </row>
    <row r="163" spans="9:14" s="263" customFormat="1" ht="12.6" customHeight="1">
      <c r="I163" s="274"/>
      <c r="M163" s="279"/>
      <c r="N163" s="279"/>
    </row>
    <row r="164" spans="9:14" s="263" customFormat="1" ht="12.6" customHeight="1">
      <c r="I164" s="274"/>
      <c r="M164" s="279"/>
      <c r="N164" s="279"/>
    </row>
    <row r="165" spans="9:14" s="263" customFormat="1" ht="12.6" customHeight="1">
      <c r="I165" s="274"/>
      <c r="M165" s="279"/>
      <c r="N165" s="279"/>
    </row>
    <row r="166" spans="9:14" s="263" customFormat="1" ht="12.6" customHeight="1">
      <c r="I166" s="274"/>
      <c r="M166" s="279"/>
      <c r="N166" s="279"/>
    </row>
    <row r="167" spans="9:14" s="263" customFormat="1" ht="12.6" customHeight="1">
      <c r="I167" s="274"/>
      <c r="M167" s="279"/>
      <c r="N167" s="279"/>
    </row>
    <row r="168" spans="9:14" s="263" customFormat="1" ht="12.6" customHeight="1">
      <c r="I168" s="274"/>
      <c r="M168" s="279"/>
      <c r="N168" s="279"/>
    </row>
    <row r="169" spans="9:14" s="263" customFormat="1" ht="12.6" customHeight="1">
      <c r="I169" s="274"/>
      <c r="M169" s="279"/>
      <c r="N169" s="279"/>
    </row>
    <row r="170" spans="9:14" s="263" customFormat="1" ht="12.6" customHeight="1">
      <c r="I170" s="274"/>
      <c r="M170" s="279"/>
      <c r="N170" s="279"/>
    </row>
    <row r="171" spans="9:14" s="263" customFormat="1" ht="12.6" customHeight="1">
      <c r="I171" s="274"/>
      <c r="M171" s="279"/>
      <c r="N171" s="279"/>
    </row>
    <row r="172" spans="9:14" s="263" customFormat="1" ht="12.6" customHeight="1">
      <c r="I172" s="274"/>
      <c r="M172" s="279"/>
      <c r="N172" s="279"/>
    </row>
    <row r="173" spans="9:14" s="263" customFormat="1" ht="12.6" customHeight="1">
      <c r="I173" s="274"/>
      <c r="M173" s="279"/>
      <c r="N173" s="279"/>
    </row>
    <row r="174" spans="9:14" s="263" customFormat="1" ht="12.6" customHeight="1">
      <c r="I174" s="274"/>
      <c r="M174" s="279"/>
      <c r="N174" s="279"/>
    </row>
    <row r="175" spans="9:14" s="263" customFormat="1" ht="12.6" customHeight="1">
      <c r="I175" s="274"/>
      <c r="M175" s="279"/>
      <c r="N175" s="279"/>
    </row>
    <row r="176" spans="9:14" s="263" customFormat="1" ht="12.6" customHeight="1">
      <c r="I176" s="274"/>
      <c r="M176" s="279"/>
      <c r="N176" s="279"/>
    </row>
    <row r="177" spans="9:14" s="263" customFormat="1" ht="12.6" customHeight="1">
      <c r="I177" s="274"/>
      <c r="M177" s="279"/>
      <c r="N177" s="279"/>
    </row>
    <row r="178" spans="9:14" s="263" customFormat="1" ht="12.6" customHeight="1">
      <c r="I178" s="274"/>
      <c r="M178" s="279"/>
      <c r="N178" s="279"/>
    </row>
    <row r="179" spans="9:14" s="263" customFormat="1" ht="12.6" customHeight="1">
      <c r="I179" s="274"/>
      <c r="M179" s="279"/>
      <c r="N179" s="279"/>
    </row>
    <row r="180" spans="9:14" s="263" customFormat="1" ht="12.6" customHeight="1">
      <c r="I180" s="274"/>
      <c r="M180" s="279"/>
      <c r="N180" s="279"/>
    </row>
    <row r="181" spans="9:14" s="263" customFormat="1" ht="12.6" customHeight="1">
      <c r="I181" s="274"/>
      <c r="M181" s="279"/>
      <c r="N181" s="279"/>
    </row>
    <row r="182" spans="9:14" s="263" customFormat="1" ht="12.6" customHeight="1">
      <c r="I182" s="274"/>
      <c r="M182" s="279"/>
      <c r="N182" s="279"/>
    </row>
    <row r="183" spans="9:14" s="263" customFormat="1" ht="12.6" customHeight="1">
      <c r="I183" s="274"/>
      <c r="M183" s="279"/>
      <c r="N183" s="279"/>
    </row>
    <row r="184" spans="9:14" s="263" customFormat="1" ht="12.6" customHeight="1">
      <c r="I184" s="274"/>
      <c r="M184" s="279"/>
      <c r="N184" s="279"/>
    </row>
    <row r="185" spans="9:14" s="263" customFormat="1" ht="12.6" customHeight="1">
      <c r="I185" s="274"/>
      <c r="M185" s="279"/>
      <c r="N185" s="279"/>
    </row>
    <row r="186" spans="9:14" s="263" customFormat="1" ht="12.6" customHeight="1">
      <c r="I186" s="274"/>
      <c r="M186" s="279"/>
      <c r="N186" s="279"/>
    </row>
    <row r="187" spans="9:14" s="263" customFormat="1" ht="12.6" customHeight="1">
      <c r="I187" s="274"/>
      <c r="M187" s="279"/>
      <c r="N187" s="279"/>
    </row>
    <row r="188" spans="9:14" s="263" customFormat="1" ht="12.6" customHeight="1">
      <c r="I188" s="274"/>
      <c r="M188" s="279"/>
      <c r="N188" s="279"/>
    </row>
    <row r="189" spans="9:14" s="263" customFormat="1" ht="12.6" customHeight="1">
      <c r="I189" s="274"/>
      <c r="M189" s="279"/>
      <c r="N189" s="279"/>
    </row>
    <row r="190" spans="9:14" s="263" customFormat="1" ht="12.6" customHeight="1">
      <c r="I190" s="274"/>
      <c r="M190" s="279"/>
      <c r="N190" s="279"/>
    </row>
    <row r="191" spans="9:14" s="263" customFormat="1" ht="12.6" customHeight="1">
      <c r="I191" s="274"/>
      <c r="M191" s="279"/>
      <c r="N191" s="279"/>
    </row>
    <row r="192" spans="9:14" s="263" customFormat="1" ht="12.6" customHeight="1">
      <c r="I192" s="274"/>
      <c r="M192" s="279"/>
      <c r="N192" s="279"/>
    </row>
    <row r="193" spans="9:14" s="263" customFormat="1" ht="12.6" customHeight="1">
      <c r="I193" s="274"/>
      <c r="M193" s="279"/>
      <c r="N193" s="279"/>
    </row>
    <row r="194" spans="9:14" s="263" customFormat="1" ht="12.6" customHeight="1">
      <c r="I194" s="274"/>
      <c r="M194" s="279"/>
      <c r="N194" s="279"/>
    </row>
    <row r="195" spans="9:14" s="263" customFormat="1" ht="12.6" customHeight="1">
      <c r="I195" s="274"/>
      <c r="M195" s="279"/>
      <c r="N195" s="279"/>
    </row>
    <row r="196" spans="9:14" s="263" customFormat="1" ht="12.6" customHeight="1">
      <c r="I196" s="274"/>
      <c r="M196" s="279"/>
      <c r="N196" s="279"/>
    </row>
    <row r="197" spans="9:14" s="263" customFormat="1" ht="12.6" customHeight="1">
      <c r="I197" s="274"/>
      <c r="M197" s="279"/>
      <c r="N197" s="279"/>
    </row>
    <row r="198" spans="9:14" s="263" customFormat="1" ht="12.6" customHeight="1">
      <c r="I198" s="274"/>
      <c r="M198" s="279"/>
      <c r="N198" s="279"/>
    </row>
    <row r="199" spans="9:14" s="263" customFormat="1" ht="12.6" customHeight="1">
      <c r="I199" s="274"/>
      <c r="M199" s="279"/>
      <c r="N199" s="279"/>
    </row>
    <row r="200" spans="9:14" s="263" customFormat="1" ht="12.6" customHeight="1">
      <c r="I200" s="274"/>
      <c r="M200" s="279"/>
      <c r="N200" s="279"/>
    </row>
    <row r="201" spans="9:14" s="263" customFormat="1" ht="12.6" customHeight="1">
      <c r="I201" s="274"/>
      <c r="M201" s="279"/>
      <c r="N201" s="279"/>
    </row>
    <row r="202" spans="9:14" s="263" customFormat="1" ht="12.6" customHeight="1">
      <c r="I202" s="274"/>
      <c r="M202" s="279"/>
      <c r="N202" s="279"/>
    </row>
    <row r="203" spans="9:14" s="263" customFormat="1" ht="12.6" customHeight="1">
      <c r="I203" s="274"/>
      <c r="M203" s="279"/>
      <c r="N203" s="279"/>
    </row>
    <row r="204" spans="9:14" s="263" customFormat="1" ht="12.6" customHeight="1">
      <c r="I204" s="274"/>
      <c r="M204" s="279"/>
      <c r="N204" s="279"/>
    </row>
    <row r="205" spans="9:14" s="263" customFormat="1" ht="12.6" customHeight="1">
      <c r="I205" s="274"/>
      <c r="M205" s="279"/>
      <c r="N205" s="279"/>
    </row>
    <row r="206" spans="9:14" s="263" customFormat="1" ht="12.6" customHeight="1">
      <c r="I206" s="274"/>
      <c r="M206" s="279"/>
      <c r="N206" s="279"/>
    </row>
    <row r="207" spans="9:14" s="263" customFormat="1" ht="12.6" customHeight="1">
      <c r="I207" s="274"/>
      <c r="M207" s="279"/>
      <c r="N207" s="279"/>
    </row>
    <row r="208" spans="9:14" s="263" customFormat="1" ht="12.6" customHeight="1">
      <c r="I208" s="274"/>
      <c r="M208" s="279"/>
      <c r="N208" s="279"/>
    </row>
    <row r="209" spans="9:14" s="263" customFormat="1" ht="12.6" customHeight="1">
      <c r="I209" s="274"/>
      <c r="M209" s="279"/>
      <c r="N209" s="279"/>
    </row>
    <row r="210" spans="9:14" s="263" customFormat="1" ht="12.6" customHeight="1">
      <c r="I210" s="274"/>
      <c r="M210" s="279"/>
      <c r="N210" s="279"/>
    </row>
    <row r="211" spans="9:14" s="263" customFormat="1" ht="12.6" customHeight="1">
      <c r="I211" s="274"/>
      <c r="M211" s="279"/>
      <c r="N211" s="279"/>
    </row>
    <row r="212" spans="9:14" s="263" customFormat="1" ht="12.6" customHeight="1">
      <c r="I212" s="274"/>
      <c r="M212" s="279"/>
      <c r="N212" s="279"/>
    </row>
    <row r="213" spans="9:14" s="263" customFormat="1" ht="12.6" customHeight="1">
      <c r="I213" s="274"/>
      <c r="M213" s="279"/>
      <c r="N213" s="279"/>
    </row>
    <row r="214" spans="9:14" s="263" customFormat="1" ht="12.6" customHeight="1">
      <c r="I214" s="274"/>
      <c r="M214" s="279"/>
      <c r="N214" s="279"/>
    </row>
    <row r="215" spans="9:14" s="263" customFormat="1" ht="12.6" customHeight="1">
      <c r="I215" s="274"/>
      <c r="M215" s="279"/>
      <c r="N215" s="279"/>
    </row>
    <row r="216" spans="9:14" s="263" customFormat="1" ht="12.6" customHeight="1">
      <c r="I216" s="274"/>
      <c r="M216" s="279"/>
      <c r="N216" s="279"/>
    </row>
    <row r="217" spans="9:14" s="263" customFormat="1" ht="12.6" customHeight="1">
      <c r="I217" s="274"/>
      <c r="M217" s="279"/>
      <c r="N217" s="279"/>
    </row>
    <row r="218" spans="9:14" s="263" customFormat="1" ht="12.6" customHeight="1">
      <c r="I218" s="274"/>
      <c r="M218" s="279"/>
      <c r="N218" s="279"/>
    </row>
    <row r="219" spans="9:14" s="263" customFormat="1" ht="12.6" customHeight="1">
      <c r="I219" s="274"/>
      <c r="M219" s="279"/>
      <c r="N219" s="279"/>
    </row>
    <row r="220" spans="9:14" s="263" customFormat="1" ht="12.6" customHeight="1">
      <c r="I220" s="274"/>
      <c r="M220" s="279"/>
      <c r="N220" s="279"/>
    </row>
    <row r="221" spans="9:14" s="263" customFormat="1" ht="12.6" customHeight="1">
      <c r="I221" s="274"/>
      <c r="M221" s="279"/>
      <c r="N221" s="279"/>
    </row>
    <row r="222" spans="9:14" s="263" customFormat="1" ht="12.6" customHeight="1">
      <c r="I222" s="274"/>
      <c r="M222" s="279"/>
      <c r="N222" s="279"/>
    </row>
    <row r="223" spans="9:14" s="263" customFormat="1" ht="12.6" customHeight="1">
      <c r="I223" s="274"/>
      <c r="M223" s="279"/>
      <c r="N223" s="279"/>
    </row>
    <row r="224" spans="9:14" s="263" customFormat="1" ht="12.6" customHeight="1">
      <c r="I224" s="274"/>
      <c r="M224" s="279"/>
      <c r="N224" s="279"/>
    </row>
    <row r="225" spans="1:14" s="263" customFormat="1" ht="12.6" customHeight="1">
      <c r="I225" s="274"/>
      <c r="M225" s="279"/>
      <c r="N225" s="279"/>
    </row>
    <row r="226" spans="1:14" s="263" customFormat="1" ht="12.6" customHeight="1">
      <c r="I226" s="274"/>
      <c r="M226" s="279"/>
      <c r="N226" s="279"/>
    </row>
    <row r="227" spans="1:14" s="263" customFormat="1" ht="12.6" customHeight="1">
      <c r="I227" s="274"/>
      <c r="M227" s="279"/>
      <c r="N227" s="279"/>
    </row>
    <row r="228" spans="1:14" s="263" customFormat="1" ht="12.6" customHeight="1">
      <c r="I228" s="274"/>
      <c r="M228" s="279"/>
      <c r="N228" s="279"/>
    </row>
    <row r="229" spans="1:14" s="263" customFormat="1" ht="12.6" customHeight="1">
      <c r="I229" s="274"/>
      <c r="M229" s="279"/>
      <c r="N229" s="279"/>
    </row>
    <row r="230" spans="1:14" s="263" customFormat="1" ht="12.6" customHeight="1">
      <c r="I230" s="274"/>
      <c r="M230" s="279"/>
      <c r="N230" s="279"/>
    </row>
    <row r="231" spans="1:14">
      <c r="A231" s="91"/>
    </row>
    <row r="232" spans="1:14">
      <c r="A232" s="91"/>
    </row>
    <row r="233" spans="1:14">
      <c r="A233" s="91"/>
    </row>
    <row r="234" spans="1:14">
      <c r="A234" s="91"/>
    </row>
    <row r="235" spans="1:14">
      <c r="A235" s="91"/>
    </row>
    <row r="236" spans="1:14">
      <c r="A236" s="91"/>
    </row>
    <row r="237" spans="1:14">
      <c r="A237" s="91"/>
    </row>
    <row r="238" spans="1:14">
      <c r="A238" s="91"/>
    </row>
    <row r="239" spans="1:14">
      <c r="A239" s="91"/>
    </row>
    <row r="240" spans="1:14">
      <c r="A240" s="91"/>
    </row>
    <row r="241" spans="1:1">
      <c r="A241" s="91"/>
    </row>
    <row r="242" spans="1:1">
      <c r="A242" s="91"/>
    </row>
    <row r="243" spans="1:1">
      <c r="A243" s="91"/>
    </row>
    <row r="244" spans="1:1">
      <c r="A244" s="91"/>
    </row>
    <row r="245" spans="1:1">
      <c r="A245" s="91"/>
    </row>
    <row r="246" spans="1:1">
      <c r="A246" s="91"/>
    </row>
    <row r="247" spans="1:1">
      <c r="A247" s="91"/>
    </row>
    <row r="248" spans="1:1">
      <c r="A248" s="91"/>
    </row>
    <row r="249" spans="1:1">
      <c r="A249" s="91"/>
    </row>
    <row r="250" spans="1:1">
      <c r="A250" s="91"/>
    </row>
    <row r="251" spans="1:1">
      <c r="A251" s="91"/>
    </row>
    <row r="252" spans="1:1">
      <c r="A252" s="91"/>
    </row>
    <row r="253" spans="1:1">
      <c r="A253" s="91"/>
    </row>
    <row r="254" spans="1:1">
      <c r="A254" s="91"/>
    </row>
    <row r="255" spans="1:1">
      <c r="A255" s="91"/>
    </row>
    <row r="256" spans="1:1">
      <c r="A256" s="91"/>
    </row>
    <row r="257" spans="1:1">
      <c r="A257" s="91"/>
    </row>
    <row r="258" spans="1:1">
      <c r="A258" s="91"/>
    </row>
    <row r="259" spans="1:1">
      <c r="A259" s="91"/>
    </row>
    <row r="260" spans="1:1">
      <c r="A260" s="91"/>
    </row>
    <row r="261" spans="1:1">
      <c r="A261" s="91"/>
    </row>
    <row r="262" spans="1:1">
      <c r="A262" s="91"/>
    </row>
    <row r="263" spans="1:1">
      <c r="A263" s="91"/>
    </row>
    <row r="264" spans="1:1">
      <c r="A264" s="91"/>
    </row>
    <row r="265" spans="1:1">
      <c r="A265" s="91"/>
    </row>
    <row r="266" spans="1:1">
      <c r="A266" s="91"/>
    </row>
    <row r="267" spans="1:1">
      <c r="A267" s="91"/>
    </row>
    <row r="268" spans="1:1">
      <c r="A268" s="91"/>
    </row>
    <row r="269" spans="1:1">
      <c r="A269" s="91"/>
    </row>
    <row r="270" spans="1:1">
      <c r="A270" s="91"/>
    </row>
    <row r="271" spans="1:1">
      <c r="A271" s="91"/>
    </row>
    <row r="272" spans="1:1">
      <c r="A272" s="91"/>
    </row>
    <row r="273" spans="1:1">
      <c r="A273" s="91"/>
    </row>
    <row r="274" spans="1:1">
      <c r="A274" s="91"/>
    </row>
    <row r="275" spans="1:1">
      <c r="A275" s="91"/>
    </row>
    <row r="276" spans="1:1">
      <c r="A276" s="91"/>
    </row>
    <row r="277" spans="1:1">
      <c r="A277" s="91"/>
    </row>
    <row r="278" spans="1:1">
      <c r="A278" s="91"/>
    </row>
    <row r="279" spans="1:1">
      <c r="A279" s="91"/>
    </row>
    <row r="280" spans="1:1">
      <c r="A280" s="91"/>
    </row>
    <row r="281" spans="1:1">
      <c r="A281" s="91"/>
    </row>
    <row r="282" spans="1:1">
      <c r="A282" s="91"/>
    </row>
    <row r="283" spans="1:1">
      <c r="A283" s="91"/>
    </row>
    <row r="284" spans="1:1">
      <c r="A284" s="91"/>
    </row>
    <row r="285" spans="1:1">
      <c r="A285" s="91"/>
    </row>
    <row r="286" spans="1:1">
      <c r="A286" s="91"/>
    </row>
  </sheetData>
  <sheetProtection algorithmName="SHA-512" hashValue="HOwFHJRJAMsawwEG/I5KX1/RjhPjZ6NSeqejMhb7uTpL38cwppaLVqIwJpaaR0xntFckGducPvPHZi7GQGesOA==" saltValue="zjfK1VEw4XvQgBAh9sEvMw==" spinCount="100000" sheet="1" selectLockedCells="1"/>
  <mergeCells count="64">
    <mergeCell ref="A10:B10"/>
    <mergeCell ref="A27:I27"/>
    <mergeCell ref="A19:H19"/>
    <mergeCell ref="A11:B11"/>
    <mergeCell ref="A12:B12"/>
    <mergeCell ref="A13:B13"/>
    <mergeCell ref="A14:B14"/>
    <mergeCell ref="A15:B15"/>
    <mergeCell ref="A16:B16"/>
    <mergeCell ref="A17:B17"/>
    <mergeCell ref="E26:H26"/>
    <mergeCell ref="G10:H10"/>
    <mergeCell ref="F18:H18"/>
    <mergeCell ref="A21:I21"/>
    <mergeCell ref="G11:G17"/>
    <mergeCell ref="A20:I20"/>
    <mergeCell ref="B74:F74"/>
    <mergeCell ref="H74:I74"/>
    <mergeCell ref="B72:F72"/>
    <mergeCell ref="H72:I72"/>
    <mergeCell ref="A73:F73"/>
    <mergeCell ref="A1:I1"/>
    <mergeCell ref="C3:F3"/>
    <mergeCell ref="A9:I9"/>
    <mergeCell ref="A6:B6"/>
    <mergeCell ref="A7:B7"/>
    <mergeCell ref="A8:B8"/>
    <mergeCell ref="F7:I7"/>
    <mergeCell ref="A2:I2"/>
    <mergeCell ref="D7:E7"/>
    <mergeCell ref="C4:H4"/>
    <mergeCell ref="C5:D5"/>
    <mergeCell ref="A68:I68"/>
    <mergeCell ref="B71:I71"/>
    <mergeCell ref="F66:H66"/>
    <mergeCell ref="B69:G69"/>
    <mergeCell ref="A65:C65"/>
    <mergeCell ref="F36:I36"/>
    <mergeCell ref="A43:I43"/>
    <mergeCell ref="A64:I64"/>
    <mergeCell ref="F65:G65"/>
    <mergeCell ref="A67:F67"/>
    <mergeCell ref="E15:F15"/>
    <mergeCell ref="E16:F16"/>
    <mergeCell ref="E17:F17"/>
    <mergeCell ref="C30:H30"/>
    <mergeCell ref="E35:G35"/>
    <mergeCell ref="A31:I31"/>
    <mergeCell ref="E10:F10"/>
    <mergeCell ref="E11:F11"/>
    <mergeCell ref="E12:F12"/>
    <mergeCell ref="E13:F13"/>
    <mergeCell ref="E14:F14"/>
    <mergeCell ref="A37:I37"/>
    <mergeCell ref="B42:H42"/>
    <mergeCell ref="B63:H63"/>
    <mergeCell ref="E53:F53"/>
    <mergeCell ref="G53:H53"/>
    <mergeCell ref="B50:H50"/>
    <mergeCell ref="E46:F46"/>
    <mergeCell ref="G46:H46"/>
    <mergeCell ref="B57:H57"/>
    <mergeCell ref="B49:D49"/>
    <mergeCell ref="B56:D56"/>
  </mergeCells>
  <conditionalFormatting sqref="I65">
    <cfRule type="cellIs" dxfId="26" priority="55" operator="greaterThan">
      <formula>12</formula>
    </cfRule>
  </conditionalFormatting>
  <conditionalFormatting sqref="E46:F46">
    <cfRule type="containsText" dxfId="25" priority="51" operator="containsText" text="Select">
      <formula>NOT(ISERROR(SEARCH("Select",E46)))</formula>
    </cfRule>
  </conditionalFormatting>
  <conditionalFormatting sqref="E53:F53">
    <cfRule type="containsText" dxfId="24" priority="49" operator="containsText" text="Select">
      <formula>NOT(ISERROR(SEARCH("Select",E53)))</formula>
    </cfRule>
  </conditionalFormatting>
  <conditionalFormatting sqref="C7">
    <cfRule type="cellIs" dxfId="23" priority="46" operator="greaterThan">
      <formula>6</formula>
    </cfRule>
  </conditionalFormatting>
  <conditionalFormatting sqref="I40:I41">
    <cfRule type="cellIs" dxfId="22" priority="45" operator="lessThan">
      <formula>0</formula>
    </cfRule>
  </conditionalFormatting>
  <conditionalFormatting sqref="I48:I49">
    <cfRule type="cellIs" dxfId="21" priority="44" operator="lessThan">
      <formula>0</formula>
    </cfRule>
  </conditionalFormatting>
  <conditionalFormatting sqref="I50">
    <cfRule type="cellIs" dxfId="20" priority="43" operator="lessThan">
      <formula>0</formula>
    </cfRule>
  </conditionalFormatting>
  <conditionalFormatting sqref="I55:I56">
    <cfRule type="cellIs" dxfId="19" priority="42" operator="lessThan">
      <formula>0</formula>
    </cfRule>
  </conditionalFormatting>
  <conditionalFormatting sqref="I57">
    <cfRule type="cellIs" dxfId="18" priority="41" operator="lessThan">
      <formula>0</formula>
    </cfRule>
  </conditionalFormatting>
  <conditionalFormatting sqref="I63">
    <cfRule type="cellIs" dxfId="17" priority="40" operator="lessThan">
      <formula>0</formula>
    </cfRule>
  </conditionalFormatting>
  <conditionalFormatting sqref="I67">
    <cfRule type="cellIs" dxfId="16" priority="39" operator="lessThan">
      <formula>0</formula>
    </cfRule>
  </conditionalFormatting>
  <conditionalFormatting sqref="I69">
    <cfRule type="cellIs" dxfId="15" priority="38" operator="lessThan">
      <formula>0</formula>
    </cfRule>
  </conditionalFormatting>
  <conditionalFormatting sqref="I29">
    <cfRule type="cellIs" dxfId="14" priority="36" operator="lessThan">
      <formula>0</formula>
    </cfRule>
  </conditionalFormatting>
  <conditionalFormatting sqref="I30">
    <cfRule type="cellIs" dxfId="13" priority="35" operator="lessThan">
      <formula>0</formula>
    </cfRule>
  </conditionalFormatting>
  <conditionalFormatting sqref="A20:I21 A27:I30 I22:I26 A22:E26 G22:H25">
    <cfRule type="expression" dxfId="12" priority="34">
      <formula>$I$18="$0"</formula>
    </cfRule>
  </conditionalFormatting>
  <conditionalFormatting sqref="A47:I50 A46:F46 I46">
    <cfRule type="expression" dxfId="11" priority="32">
      <formula>$G$45="yes"</formula>
    </cfRule>
    <cfRule type="expression" dxfId="10" priority="33">
      <formula>$G$45="Choose One"</formula>
    </cfRule>
  </conditionalFormatting>
  <conditionalFormatting sqref="A54:I57 A53:F53 I53">
    <cfRule type="expression" dxfId="9" priority="29">
      <formula>$G$52="unknown"</formula>
    </cfRule>
    <cfRule type="expression" dxfId="8" priority="30">
      <formula>$G$52="yes"</formula>
    </cfRule>
    <cfRule type="expression" dxfId="7" priority="31">
      <formula>$G$52="choose one"</formula>
    </cfRule>
  </conditionalFormatting>
  <conditionalFormatting sqref="A31:J33 A35:J71 A34:G34 I34:J34">
    <cfRule type="expression" dxfId="6" priority="25">
      <formula>$C$6=""</formula>
    </cfRule>
    <cfRule type="expression" dxfId="5" priority="26">
      <formula>$C$8=""</formula>
    </cfRule>
    <cfRule type="expression" dxfId="4" priority="27">
      <formula>$C$7=""</formula>
    </cfRule>
  </conditionalFormatting>
  <conditionalFormatting sqref="D18">
    <cfRule type="expression" dxfId="3" priority="56">
      <formula>$H$11:$H$17=""</formula>
    </cfRule>
  </conditionalFormatting>
  <conditionalFormatting sqref="H34">
    <cfRule type="expression" dxfId="2" priority="1">
      <formula>$C$6=""</formula>
    </cfRule>
    <cfRule type="expression" dxfId="1" priority="2">
      <formula>$C$8=""</formula>
    </cfRule>
    <cfRule type="expression" dxfId="0" priority="3">
      <formula>$C$7=""</formula>
    </cfRule>
  </conditionalFormatting>
  <dataValidations count="5">
    <dataValidation type="list" allowBlank="1" showInputMessage="1" showErrorMessage="1" sqref="G45 D11:D17">
      <formula1>$A$75:$A$77</formula1>
    </dataValidation>
    <dataValidation type="list" allowBlank="1" showInputMessage="1" showErrorMessage="1" sqref="E47 E54">
      <formula1>$A$80:$A$93</formula1>
    </dataValidation>
    <dataValidation type="list" allowBlank="1" showInputMessage="1" showErrorMessage="1" sqref="G52">
      <formula1>$A$75:$A$78</formula1>
    </dataValidation>
    <dataValidation type="list" allowBlank="1" showInputMessage="1" showErrorMessage="1" sqref="F5">
      <formula1>$D$75:$D$81</formula1>
    </dataValidation>
    <dataValidation type="list" allowBlank="1" showInputMessage="1" showErrorMessage="1" sqref="C5:D5">
      <formula1>$D$75:$D$82</formula1>
    </dataValidation>
  </dataValidations>
  <pageMargins left="0.25" right="0.25" top="0.1" bottom="0.1" header="0" footer="0"/>
  <pageSetup scale="78" orientation="portrait" r:id="rId1"/>
  <headerFooter>
    <oddFooter>&amp;RRevision Date: 11/20/2020</oddFooter>
  </headerFooter>
  <ignoredErrors>
    <ignoredError sqref="F8"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'OCCUPANCY_days in month'!$J$1:$J$32</xm:f>
          </x14:formula1>
          <xm:sqref>G47 G54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72"/>
  <sheetViews>
    <sheetView workbookViewId="0">
      <pane ySplit="2" topLeftCell="A36" activePane="bottomLeft" state="frozen"/>
      <selection activeCell="I1" sqref="I1:N1"/>
      <selection pane="bottomLeft" activeCell="E64" sqref="E64"/>
    </sheetView>
  </sheetViews>
  <sheetFormatPr defaultRowHeight="12.75"/>
  <cols>
    <col min="9" max="9" width="13.5703125" customWidth="1"/>
    <col min="10" max="10" width="21.85546875" customWidth="1"/>
  </cols>
  <sheetData>
    <row r="1" spans="1:15">
      <c r="B1" s="401" t="s">
        <v>267</v>
      </c>
      <c r="C1" s="402"/>
      <c r="D1" s="402"/>
      <c r="E1" s="402"/>
      <c r="F1" s="402"/>
    </row>
    <row r="2" spans="1:15">
      <c r="A2" t="s">
        <v>81</v>
      </c>
      <c r="B2" s="86">
        <v>0</v>
      </c>
      <c r="C2" s="86">
        <v>1</v>
      </c>
      <c r="D2" s="86">
        <v>2</v>
      </c>
      <c r="E2" s="86">
        <v>3</v>
      </c>
      <c r="F2" s="86">
        <v>4</v>
      </c>
      <c r="G2" s="255">
        <v>5</v>
      </c>
      <c r="H2" s="255">
        <v>6</v>
      </c>
      <c r="I2" s="401" t="s">
        <v>156</v>
      </c>
      <c r="J2" s="402"/>
    </row>
    <row r="3" spans="1:15" ht="15">
      <c r="A3" s="257">
        <v>94571</v>
      </c>
      <c r="B3" s="258">
        <v>1177</v>
      </c>
      <c r="C3" s="258">
        <v>1384</v>
      </c>
      <c r="D3" s="258">
        <v>1668</v>
      </c>
      <c r="E3" s="258">
        <v>2409</v>
      </c>
      <c r="F3" s="258">
        <v>2932</v>
      </c>
      <c r="G3" s="258">
        <v>3372</v>
      </c>
      <c r="H3" s="258">
        <v>3812</v>
      </c>
      <c r="I3" t="s">
        <v>22</v>
      </c>
      <c r="J3" t="s">
        <v>23</v>
      </c>
    </row>
    <row r="4" spans="1:15" ht="15">
      <c r="A4" s="257">
        <v>95608</v>
      </c>
      <c r="B4" s="258">
        <v>981</v>
      </c>
      <c r="C4" s="258">
        <v>1101</v>
      </c>
      <c r="D4" s="258">
        <v>1384</v>
      </c>
      <c r="E4" s="258">
        <v>1995</v>
      </c>
      <c r="F4" s="258">
        <v>2431</v>
      </c>
      <c r="G4" s="258">
        <v>2795</v>
      </c>
      <c r="H4" s="258">
        <v>3160</v>
      </c>
      <c r="I4">
        <v>1</v>
      </c>
      <c r="J4" s="82">
        <v>60400</v>
      </c>
    </row>
    <row r="5" spans="1:15" ht="15">
      <c r="A5" s="259">
        <v>95609</v>
      </c>
      <c r="B5" s="260">
        <v>1030</v>
      </c>
      <c r="C5" s="260">
        <v>1160</v>
      </c>
      <c r="D5" s="260">
        <v>1460</v>
      </c>
      <c r="E5" s="260">
        <v>2090</v>
      </c>
      <c r="F5" s="260">
        <v>2530</v>
      </c>
      <c r="G5" s="260"/>
      <c r="H5" s="260"/>
      <c r="I5">
        <v>2</v>
      </c>
      <c r="J5" s="82">
        <v>69050</v>
      </c>
    </row>
    <row r="6" spans="1:15" ht="15">
      <c r="A6" s="257">
        <v>95610</v>
      </c>
      <c r="B6" s="258">
        <v>1036</v>
      </c>
      <c r="C6" s="258">
        <v>1166</v>
      </c>
      <c r="D6" s="258">
        <v>1472</v>
      </c>
      <c r="E6" s="258">
        <v>2126</v>
      </c>
      <c r="F6" s="258">
        <v>2583</v>
      </c>
      <c r="G6" s="258">
        <v>2971</v>
      </c>
      <c r="H6" s="258">
        <v>3358</v>
      </c>
      <c r="I6">
        <v>3</v>
      </c>
      <c r="J6" s="82">
        <v>77650</v>
      </c>
    </row>
    <row r="7" spans="1:15" ht="15">
      <c r="A7" s="259">
        <v>95611</v>
      </c>
      <c r="B7" s="260">
        <v>1030</v>
      </c>
      <c r="C7" s="260">
        <v>1160</v>
      </c>
      <c r="D7" s="260">
        <v>1460</v>
      </c>
      <c r="E7" s="260">
        <v>2090</v>
      </c>
      <c r="F7" s="260">
        <v>2530</v>
      </c>
      <c r="G7" s="260"/>
      <c r="H7" s="260"/>
      <c r="I7">
        <v>4</v>
      </c>
      <c r="J7" s="82">
        <v>86300</v>
      </c>
    </row>
    <row r="8" spans="1:15" ht="15">
      <c r="A8" s="257">
        <v>95615</v>
      </c>
      <c r="B8" s="258">
        <v>1199</v>
      </c>
      <c r="C8" s="258">
        <v>1341</v>
      </c>
      <c r="D8" s="258">
        <v>1700</v>
      </c>
      <c r="E8" s="258">
        <v>2453</v>
      </c>
      <c r="F8" s="258">
        <v>2976</v>
      </c>
      <c r="G8" s="258">
        <v>3422</v>
      </c>
      <c r="H8" s="258">
        <v>3868</v>
      </c>
      <c r="I8">
        <v>5</v>
      </c>
      <c r="J8" s="82">
        <v>93200</v>
      </c>
    </row>
    <row r="9" spans="1:15" ht="15">
      <c r="A9" s="257">
        <v>95621</v>
      </c>
      <c r="B9" s="258">
        <v>1036</v>
      </c>
      <c r="C9" s="258">
        <v>1166</v>
      </c>
      <c r="D9" s="258">
        <v>1472</v>
      </c>
      <c r="E9" s="258">
        <v>2126</v>
      </c>
      <c r="F9" s="258">
        <v>2583</v>
      </c>
      <c r="G9" s="258">
        <v>2971</v>
      </c>
      <c r="H9" s="258">
        <v>3358</v>
      </c>
      <c r="I9">
        <v>6</v>
      </c>
      <c r="J9" s="82">
        <v>100100</v>
      </c>
    </row>
    <row r="10" spans="1:15" ht="15">
      <c r="A10" s="257">
        <v>95624</v>
      </c>
      <c r="B10" s="258">
        <v>1079</v>
      </c>
      <c r="C10" s="258">
        <v>1210</v>
      </c>
      <c r="D10" s="258">
        <v>1526</v>
      </c>
      <c r="E10" s="258">
        <v>2202</v>
      </c>
      <c r="F10" s="258">
        <v>2681</v>
      </c>
      <c r="G10" s="258">
        <v>3084</v>
      </c>
      <c r="H10" s="258">
        <v>3486</v>
      </c>
      <c r="I10">
        <v>7</v>
      </c>
      <c r="J10" s="82">
        <v>107000</v>
      </c>
    </row>
    <row r="11" spans="1:15" ht="15">
      <c r="A11" s="257">
        <v>95626</v>
      </c>
      <c r="B11" s="258">
        <v>1308</v>
      </c>
      <c r="C11" s="258">
        <v>1472</v>
      </c>
      <c r="D11" s="258">
        <v>1853</v>
      </c>
      <c r="E11" s="258">
        <v>2671</v>
      </c>
      <c r="F11" s="258">
        <v>3248</v>
      </c>
      <c r="G11" s="258">
        <v>3735</v>
      </c>
      <c r="H11" s="258">
        <v>4223</v>
      </c>
      <c r="I11">
        <v>8</v>
      </c>
      <c r="J11" s="82">
        <v>113900</v>
      </c>
    </row>
    <row r="12" spans="1:15" ht="15">
      <c r="A12" s="257">
        <v>95628</v>
      </c>
      <c r="B12" s="258">
        <v>1177</v>
      </c>
      <c r="C12" s="258">
        <v>1243</v>
      </c>
      <c r="D12" s="258">
        <v>1570</v>
      </c>
      <c r="E12" s="258">
        <v>2267</v>
      </c>
      <c r="F12" s="258">
        <v>2758</v>
      </c>
      <c r="G12" s="258">
        <v>3171</v>
      </c>
      <c r="H12" s="258">
        <v>3585</v>
      </c>
    </row>
    <row r="13" spans="1:15" ht="18">
      <c r="A13" s="257">
        <v>95630</v>
      </c>
      <c r="B13" s="258">
        <v>1428</v>
      </c>
      <c r="C13" s="258">
        <v>1602</v>
      </c>
      <c r="D13" s="258">
        <v>2017</v>
      </c>
      <c r="E13" s="258">
        <v>2910</v>
      </c>
      <c r="F13" s="258">
        <v>3543</v>
      </c>
      <c r="G13" s="258">
        <v>4074</v>
      </c>
      <c r="H13" s="258">
        <v>4605</v>
      </c>
      <c r="O13" s="68"/>
    </row>
    <row r="14" spans="1:15" ht="15">
      <c r="A14" s="257">
        <v>95632</v>
      </c>
      <c r="B14" s="258">
        <v>1079</v>
      </c>
      <c r="C14" s="258">
        <v>1221</v>
      </c>
      <c r="D14" s="258">
        <v>1537</v>
      </c>
      <c r="E14" s="258">
        <v>2224</v>
      </c>
      <c r="F14" s="258">
        <v>2703</v>
      </c>
      <c r="G14" s="258">
        <v>3109</v>
      </c>
      <c r="H14" s="258">
        <v>3514</v>
      </c>
    </row>
    <row r="15" spans="1:15" ht="15">
      <c r="A15" s="257">
        <v>95638</v>
      </c>
      <c r="B15" s="258">
        <v>1145</v>
      </c>
      <c r="C15" s="258">
        <v>1286</v>
      </c>
      <c r="D15" s="258">
        <v>1624</v>
      </c>
      <c r="E15" s="258">
        <v>2344</v>
      </c>
      <c r="F15" s="258">
        <v>2856</v>
      </c>
      <c r="G15" s="258">
        <v>3284</v>
      </c>
      <c r="H15" s="258">
        <v>3713</v>
      </c>
    </row>
    <row r="16" spans="1:15" ht="15">
      <c r="A16" s="259">
        <v>95639</v>
      </c>
      <c r="B16" s="260">
        <v>1260</v>
      </c>
      <c r="C16" s="260">
        <v>1410</v>
      </c>
      <c r="D16" s="260">
        <v>1780</v>
      </c>
      <c r="E16" s="260">
        <v>2550</v>
      </c>
      <c r="F16" s="260">
        <v>3080</v>
      </c>
      <c r="G16" s="260"/>
      <c r="H16" s="260"/>
    </row>
    <row r="17" spans="1:14" ht="15">
      <c r="A17" s="257">
        <v>95641</v>
      </c>
      <c r="B17" s="258">
        <v>839</v>
      </c>
      <c r="C17" s="258">
        <v>948</v>
      </c>
      <c r="D17" s="258">
        <v>1188</v>
      </c>
      <c r="E17" s="258">
        <v>1711</v>
      </c>
      <c r="F17" s="258">
        <v>2082</v>
      </c>
      <c r="G17" s="258">
        <v>2394</v>
      </c>
      <c r="H17" s="258">
        <v>2706</v>
      </c>
    </row>
    <row r="18" spans="1:14" ht="15">
      <c r="A18" s="257">
        <v>95652</v>
      </c>
      <c r="B18" s="258">
        <v>719</v>
      </c>
      <c r="C18" s="258">
        <v>818</v>
      </c>
      <c r="D18" s="258">
        <v>1025</v>
      </c>
      <c r="E18" s="258">
        <v>1482</v>
      </c>
      <c r="F18" s="258">
        <v>1799</v>
      </c>
      <c r="G18" s="258">
        <v>2068</v>
      </c>
      <c r="H18" s="258">
        <v>2338</v>
      </c>
    </row>
    <row r="19" spans="1:14" ht="15">
      <c r="A19" s="257">
        <v>95655</v>
      </c>
      <c r="B19" s="258">
        <v>1559</v>
      </c>
      <c r="C19" s="258">
        <v>1744</v>
      </c>
      <c r="D19" s="258">
        <v>2202</v>
      </c>
      <c r="E19" s="258">
        <v>3172</v>
      </c>
      <c r="F19" s="258">
        <v>3870</v>
      </c>
      <c r="G19" s="258">
        <v>4450</v>
      </c>
      <c r="H19" s="258">
        <v>5030</v>
      </c>
      <c r="J19" s="167"/>
      <c r="K19" s="167"/>
      <c r="L19" s="167"/>
      <c r="M19" s="167"/>
      <c r="N19" s="167"/>
    </row>
    <row r="20" spans="1:14" ht="15">
      <c r="A20" s="257">
        <v>95660</v>
      </c>
      <c r="B20" s="258">
        <v>981</v>
      </c>
      <c r="C20" s="258">
        <v>1101</v>
      </c>
      <c r="D20" s="258">
        <v>1384</v>
      </c>
      <c r="E20" s="258">
        <v>1995</v>
      </c>
      <c r="F20" s="258">
        <v>2431</v>
      </c>
      <c r="G20" s="258">
        <v>2795</v>
      </c>
      <c r="H20" s="258">
        <v>3160</v>
      </c>
    </row>
    <row r="21" spans="1:14" ht="15">
      <c r="A21" s="257">
        <v>95662</v>
      </c>
      <c r="B21" s="258">
        <v>1188</v>
      </c>
      <c r="C21" s="258">
        <v>1330</v>
      </c>
      <c r="D21" s="258">
        <v>1679</v>
      </c>
      <c r="E21" s="258">
        <v>2420</v>
      </c>
      <c r="F21" s="258">
        <v>2943</v>
      </c>
      <c r="G21" s="258">
        <v>3384</v>
      </c>
      <c r="H21" s="258">
        <v>3826</v>
      </c>
    </row>
    <row r="22" spans="1:14" ht="15">
      <c r="A22" s="257">
        <v>95670</v>
      </c>
      <c r="B22" s="258">
        <v>948</v>
      </c>
      <c r="C22" s="258">
        <v>1068</v>
      </c>
      <c r="D22" s="258">
        <v>1352</v>
      </c>
      <c r="E22" s="258">
        <v>1951</v>
      </c>
      <c r="F22" s="258">
        <v>2376</v>
      </c>
      <c r="G22" s="258">
        <v>2733</v>
      </c>
      <c r="H22" s="258">
        <v>3089</v>
      </c>
    </row>
    <row r="23" spans="1:14" ht="15">
      <c r="A23" s="259">
        <v>95671</v>
      </c>
      <c r="B23" s="260">
        <v>1030</v>
      </c>
      <c r="C23" s="260">
        <v>1160</v>
      </c>
      <c r="D23" s="260">
        <v>1460</v>
      </c>
      <c r="E23" s="260">
        <v>2090</v>
      </c>
      <c r="F23" s="260">
        <v>2530</v>
      </c>
      <c r="G23" s="260"/>
      <c r="H23" s="260"/>
    </row>
    <row r="24" spans="1:14" ht="15">
      <c r="A24" s="257">
        <v>95673</v>
      </c>
      <c r="B24" s="258">
        <v>1090</v>
      </c>
      <c r="C24" s="258">
        <v>1232</v>
      </c>
      <c r="D24" s="258">
        <v>1548</v>
      </c>
      <c r="E24" s="258">
        <v>2235</v>
      </c>
      <c r="F24" s="258">
        <v>2714</v>
      </c>
      <c r="G24" s="258">
        <v>3121</v>
      </c>
      <c r="H24" s="258">
        <v>3528</v>
      </c>
    </row>
    <row r="25" spans="1:14" ht="15">
      <c r="A25" s="259">
        <v>95680</v>
      </c>
      <c r="B25" s="260">
        <v>740</v>
      </c>
      <c r="C25" s="260">
        <v>830</v>
      </c>
      <c r="D25" s="260">
        <v>1050</v>
      </c>
      <c r="E25" s="260">
        <v>1500</v>
      </c>
      <c r="F25" s="260">
        <v>1810</v>
      </c>
      <c r="G25" s="260"/>
      <c r="H25" s="260"/>
    </row>
    <row r="26" spans="1:14" ht="15">
      <c r="A26" s="257">
        <v>95683</v>
      </c>
      <c r="B26" s="258">
        <v>1515</v>
      </c>
      <c r="C26" s="258">
        <v>1700</v>
      </c>
      <c r="D26" s="258">
        <v>2147</v>
      </c>
      <c r="E26" s="258">
        <v>3096</v>
      </c>
      <c r="F26" s="258">
        <v>3771</v>
      </c>
      <c r="G26" s="258">
        <v>4337</v>
      </c>
      <c r="H26" s="258">
        <v>4903</v>
      </c>
    </row>
    <row r="27" spans="1:14" ht="15">
      <c r="A27" s="257">
        <v>95690</v>
      </c>
      <c r="B27" s="258">
        <v>730</v>
      </c>
      <c r="C27" s="258">
        <v>828</v>
      </c>
      <c r="D27" s="258">
        <v>1036</v>
      </c>
      <c r="E27" s="258">
        <v>1504</v>
      </c>
      <c r="F27" s="258">
        <v>1820</v>
      </c>
      <c r="G27" s="258">
        <v>2093</v>
      </c>
      <c r="H27" s="258">
        <v>2366</v>
      </c>
    </row>
    <row r="28" spans="1:14" ht="15">
      <c r="A28" s="257">
        <v>95693</v>
      </c>
      <c r="B28" s="258">
        <v>905</v>
      </c>
      <c r="C28" s="258">
        <v>1014</v>
      </c>
      <c r="D28" s="258">
        <v>1275</v>
      </c>
      <c r="E28" s="258">
        <v>1842</v>
      </c>
      <c r="F28" s="258">
        <v>2235</v>
      </c>
      <c r="G28" s="258">
        <v>2570</v>
      </c>
      <c r="H28" s="258">
        <v>2905</v>
      </c>
    </row>
    <row r="29" spans="1:14" ht="15">
      <c r="A29" s="259">
        <v>95741</v>
      </c>
      <c r="B29" s="260">
        <v>1030</v>
      </c>
      <c r="C29" s="260">
        <v>1160</v>
      </c>
      <c r="D29" s="260">
        <v>1460</v>
      </c>
      <c r="E29" s="260">
        <v>2090</v>
      </c>
      <c r="F29" s="260">
        <v>2530</v>
      </c>
      <c r="G29" s="260"/>
      <c r="H29" s="260"/>
    </row>
    <row r="30" spans="1:14" ht="15">
      <c r="A30" s="257">
        <v>95742</v>
      </c>
      <c r="B30" s="258">
        <v>1559</v>
      </c>
      <c r="C30" s="258">
        <v>1744</v>
      </c>
      <c r="D30" s="258">
        <v>2202</v>
      </c>
      <c r="E30" s="258">
        <v>3172</v>
      </c>
      <c r="F30" s="258">
        <v>3870</v>
      </c>
      <c r="G30" s="258">
        <v>4450</v>
      </c>
      <c r="H30" s="258">
        <v>5030</v>
      </c>
    </row>
    <row r="31" spans="1:14" ht="15">
      <c r="A31" s="257">
        <v>95757</v>
      </c>
      <c r="B31" s="258">
        <v>1548</v>
      </c>
      <c r="C31" s="258">
        <v>1744</v>
      </c>
      <c r="D31" s="258">
        <v>2191</v>
      </c>
      <c r="E31" s="258">
        <v>3161</v>
      </c>
      <c r="F31" s="258">
        <v>3848</v>
      </c>
      <c r="G31" s="258">
        <v>4425</v>
      </c>
      <c r="H31" s="258">
        <v>5002</v>
      </c>
    </row>
    <row r="32" spans="1:14" ht="15">
      <c r="A32" s="257">
        <v>95758</v>
      </c>
      <c r="B32" s="258">
        <v>1188</v>
      </c>
      <c r="C32" s="258">
        <v>1330</v>
      </c>
      <c r="D32" s="258">
        <v>1679</v>
      </c>
      <c r="E32" s="258">
        <v>2420</v>
      </c>
      <c r="F32" s="258">
        <v>2943</v>
      </c>
      <c r="G32" s="258">
        <v>3384</v>
      </c>
      <c r="H32" s="258">
        <v>3826</v>
      </c>
    </row>
    <row r="33" spans="1:8" ht="15">
      <c r="A33" s="259">
        <v>95759</v>
      </c>
      <c r="B33" s="260">
        <v>1030</v>
      </c>
      <c r="C33" s="260">
        <v>1160</v>
      </c>
      <c r="D33" s="260">
        <v>1460</v>
      </c>
      <c r="E33" s="260">
        <v>2090</v>
      </c>
      <c r="F33" s="260">
        <v>2530</v>
      </c>
      <c r="G33" s="260"/>
      <c r="H33" s="260"/>
    </row>
    <row r="34" spans="1:8" ht="15">
      <c r="A34" s="259">
        <v>95763</v>
      </c>
      <c r="B34" s="260">
        <v>1030</v>
      </c>
      <c r="C34" s="260">
        <v>1160</v>
      </c>
      <c r="D34" s="260">
        <v>1460</v>
      </c>
      <c r="E34" s="260">
        <v>2090</v>
      </c>
      <c r="F34" s="260">
        <v>2530</v>
      </c>
      <c r="G34" s="260"/>
      <c r="H34" s="260"/>
    </row>
    <row r="35" spans="1:8" ht="15">
      <c r="A35" s="257">
        <v>95811</v>
      </c>
      <c r="B35" s="258">
        <v>1057</v>
      </c>
      <c r="C35" s="258">
        <v>1188</v>
      </c>
      <c r="D35" s="258">
        <v>1493</v>
      </c>
      <c r="E35" s="258">
        <v>2158</v>
      </c>
      <c r="F35" s="258">
        <v>2627</v>
      </c>
      <c r="G35" s="258">
        <v>3021</v>
      </c>
      <c r="H35" s="258">
        <v>3415</v>
      </c>
    </row>
    <row r="36" spans="1:8" ht="15">
      <c r="A36" s="259">
        <v>95812</v>
      </c>
      <c r="B36" s="260">
        <v>1030</v>
      </c>
      <c r="C36" s="260">
        <v>1160</v>
      </c>
      <c r="D36" s="260">
        <v>1460</v>
      </c>
      <c r="E36" s="260">
        <v>2090</v>
      </c>
      <c r="F36" s="260">
        <v>2530</v>
      </c>
      <c r="G36" s="260"/>
      <c r="H36" s="260"/>
    </row>
    <row r="37" spans="1:8" ht="15">
      <c r="A37" s="259">
        <v>95813</v>
      </c>
      <c r="B37" s="260">
        <v>1030</v>
      </c>
      <c r="C37" s="260">
        <v>1160</v>
      </c>
      <c r="D37" s="260">
        <v>1460</v>
      </c>
      <c r="E37" s="260">
        <v>2090</v>
      </c>
      <c r="F37" s="260">
        <v>2530</v>
      </c>
      <c r="G37" s="260"/>
      <c r="H37" s="260"/>
    </row>
    <row r="38" spans="1:8" ht="15">
      <c r="A38" s="257">
        <v>95814</v>
      </c>
      <c r="B38" s="258">
        <v>1101</v>
      </c>
      <c r="C38" s="258">
        <v>1243</v>
      </c>
      <c r="D38" s="258">
        <v>1559</v>
      </c>
      <c r="E38" s="258">
        <v>2245</v>
      </c>
      <c r="F38" s="258">
        <v>2736</v>
      </c>
      <c r="G38" s="258">
        <v>3146</v>
      </c>
      <c r="H38" s="258">
        <v>3557</v>
      </c>
    </row>
    <row r="39" spans="1:8" ht="15">
      <c r="A39" s="257">
        <v>95815</v>
      </c>
      <c r="B39" s="258">
        <v>948</v>
      </c>
      <c r="C39" s="258">
        <v>1068</v>
      </c>
      <c r="D39" s="258">
        <v>1352</v>
      </c>
      <c r="E39" s="258">
        <v>1951</v>
      </c>
      <c r="F39" s="258">
        <v>2376</v>
      </c>
      <c r="G39" s="258">
        <v>2733</v>
      </c>
      <c r="H39" s="258">
        <v>3089</v>
      </c>
    </row>
    <row r="40" spans="1:8" ht="15">
      <c r="A40" s="257">
        <v>95816</v>
      </c>
      <c r="B40" s="258">
        <v>1199</v>
      </c>
      <c r="C40" s="258">
        <v>1352</v>
      </c>
      <c r="D40" s="258">
        <v>1700</v>
      </c>
      <c r="E40" s="258">
        <v>2453</v>
      </c>
      <c r="F40" s="258">
        <v>2987</v>
      </c>
      <c r="G40" s="258">
        <v>3435</v>
      </c>
      <c r="H40" s="258">
        <v>3883</v>
      </c>
    </row>
    <row r="41" spans="1:8" ht="15">
      <c r="A41" s="257">
        <v>95817</v>
      </c>
      <c r="B41" s="258">
        <v>905</v>
      </c>
      <c r="C41" s="258">
        <v>1025</v>
      </c>
      <c r="D41" s="258">
        <v>1286</v>
      </c>
      <c r="E41" s="258">
        <v>1853</v>
      </c>
      <c r="F41" s="258">
        <v>2256</v>
      </c>
      <c r="G41" s="258">
        <v>2595</v>
      </c>
      <c r="H41" s="258">
        <v>2933</v>
      </c>
    </row>
    <row r="42" spans="1:8" ht="15">
      <c r="A42" s="257">
        <v>95818</v>
      </c>
      <c r="B42" s="258">
        <v>1068</v>
      </c>
      <c r="C42" s="258">
        <v>1199</v>
      </c>
      <c r="D42" s="258">
        <v>1515</v>
      </c>
      <c r="E42" s="258">
        <v>2191</v>
      </c>
      <c r="F42" s="258">
        <v>2660</v>
      </c>
      <c r="G42" s="258">
        <v>3059</v>
      </c>
      <c r="H42" s="258">
        <v>3457</v>
      </c>
    </row>
    <row r="43" spans="1:8" ht="15">
      <c r="A43" s="257">
        <v>95819</v>
      </c>
      <c r="B43" s="258">
        <v>1232</v>
      </c>
      <c r="C43" s="258">
        <v>1384</v>
      </c>
      <c r="D43" s="258">
        <v>1744</v>
      </c>
      <c r="E43" s="258">
        <v>2518</v>
      </c>
      <c r="F43" s="258">
        <v>3063</v>
      </c>
      <c r="G43" s="258">
        <v>3522</v>
      </c>
      <c r="H43" s="258">
        <v>3982</v>
      </c>
    </row>
    <row r="44" spans="1:8" ht="15">
      <c r="A44" s="257">
        <v>95820</v>
      </c>
      <c r="B44" s="258">
        <v>1036</v>
      </c>
      <c r="C44" s="258">
        <v>1155</v>
      </c>
      <c r="D44" s="258">
        <v>1461</v>
      </c>
      <c r="E44" s="258">
        <v>2104</v>
      </c>
      <c r="F44" s="258">
        <v>2562</v>
      </c>
      <c r="G44" s="258">
        <v>2946</v>
      </c>
      <c r="H44" s="258">
        <v>3330</v>
      </c>
    </row>
    <row r="45" spans="1:8" ht="15">
      <c r="A45" s="257">
        <v>95821</v>
      </c>
      <c r="B45" s="258">
        <v>905</v>
      </c>
      <c r="C45" s="258">
        <v>1014</v>
      </c>
      <c r="D45" s="258">
        <v>1275</v>
      </c>
      <c r="E45" s="258">
        <v>1842</v>
      </c>
      <c r="F45" s="258">
        <v>2235</v>
      </c>
      <c r="G45" s="258">
        <v>2570</v>
      </c>
      <c r="H45" s="258">
        <v>2905</v>
      </c>
    </row>
    <row r="46" spans="1:8" ht="15">
      <c r="A46" s="257">
        <v>95822</v>
      </c>
      <c r="B46" s="258">
        <v>992</v>
      </c>
      <c r="C46" s="258">
        <v>1112</v>
      </c>
      <c r="D46" s="258">
        <v>1406</v>
      </c>
      <c r="E46" s="258">
        <v>2027</v>
      </c>
      <c r="F46" s="258">
        <v>2463</v>
      </c>
      <c r="G46" s="258">
        <v>2833</v>
      </c>
      <c r="H46" s="258">
        <v>3202</v>
      </c>
    </row>
    <row r="47" spans="1:8" ht="15">
      <c r="A47" s="257">
        <v>95823</v>
      </c>
      <c r="B47" s="258">
        <v>905</v>
      </c>
      <c r="C47" s="258">
        <v>1014</v>
      </c>
      <c r="D47" s="258">
        <v>1275</v>
      </c>
      <c r="E47" s="258">
        <v>1842</v>
      </c>
      <c r="F47" s="258">
        <v>2235</v>
      </c>
      <c r="G47" s="258">
        <v>2570</v>
      </c>
      <c r="H47" s="258">
        <v>2905</v>
      </c>
    </row>
    <row r="48" spans="1:8" ht="15">
      <c r="A48" s="257">
        <v>95824</v>
      </c>
      <c r="B48" s="258">
        <v>872</v>
      </c>
      <c r="C48" s="258">
        <v>992</v>
      </c>
      <c r="D48" s="258">
        <v>1243</v>
      </c>
      <c r="E48" s="258">
        <v>1788</v>
      </c>
      <c r="F48" s="258">
        <v>2180</v>
      </c>
      <c r="G48" s="258">
        <v>2507</v>
      </c>
      <c r="H48" s="258">
        <v>2834</v>
      </c>
    </row>
    <row r="49" spans="1:8" ht="15">
      <c r="A49" s="257">
        <v>95825</v>
      </c>
      <c r="B49" s="258">
        <v>981</v>
      </c>
      <c r="C49" s="258">
        <v>1112</v>
      </c>
      <c r="D49" s="258">
        <v>1395</v>
      </c>
      <c r="E49" s="258">
        <v>2017</v>
      </c>
      <c r="F49" s="258">
        <v>2453</v>
      </c>
      <c r="G49" s="258">
        <v>2820</v>
      </c>
      <c r="H49" s="258">
        <v>3188</v>
      </c>
    </row>
    <row r="50" spans="1:8" ht="15">
      <c r="A50" s="257">
        <v>95826</v>
      </c>
      <c r="B50" s="258">
        <v>981</v>
      </c>
      <c r="C50" s="258">
        <v>1101</v>
      </c>
      <c r="D50" s="258">
        <v>1384</v>
      </c>
      <c r="E50" s="258">
        <v>1995</v>
      </c>
      <c r="F50" s="258">
        <v>2431</v>
      </c>
      <c r="G50" s="258">
        <v>2795</v>
      </c>
      <c r="H50" s="258">
        <v>3160</v>
      </c>
    </row>
    <row r="51" spans="1:8" ht="15">
      <c r="A51" s="257">
        <v>95827</v>
      </c>
      <c r="B51" s="258">
        <v>1057</v>
      </c>
      <c r="C51" s="258">
        <v>1188</v>
      </c>
      <c r="D51" s="258">
        <v>1493</v>
      </c>
      <c r="E51" s="258">
        <v>2158</v>
      </c>
      <c r="F51" s="258">
        <v>2627</v>
      </c>
      <c r="G51" s="258">
        <v>3021</v>
      </c>
      <c r="H51" s="258">
        <v>3415</v>
      </c>
    </row>
    <row r="52" spans="1:8" ht="15">
      <c r="A52" s="257">
        <v>95828</v>
      </c>
      <c r="B52" s="258">
        <v>992</v>
      </c>
      <c r="C52" s="258">
        <v>1112</v>
      </c>
      <c r="D52" s="258">
        <v>1406</v>
      </c>
      <c r="E52" s="258">
        <v>2027</v>
      </c>
      <c r="F52" s="258">
        <v>2463</v>
      </c>
      <c r="G52" s="258">
        <v>2833</v>
      </c>
      <c r="H52" s="258">
        <v>3202</v>
      </c>
    </row>
    <row r="53" spans="1:8" ht="15">
      <c r="A53" s="257">
        <v>95829</v>
      </c>
      <c r="B53" s="258">
        <v>1450</v>
      </c>
      <c r="C53" s="258">
        <v>1635</v>
      </c>
      <c r="D53" s="258">
        <v>2060</v>
      </c>
      <c r="E53" s="258">
        <v>2976</v>
      </c>
      <c r="F53" s="258">
        <v>3619</v>
      </c>
      <c r="G53" s="258">
        <v>4162</v>
      </c>
      <c r="H53" s="258">
        <v>4704</v>
      </c>
    </row>
    <row r="54" spans="1:8" ht="15">
      <c r="A54" s="257">
        <v>95830</v>
      </c>
      <c r="B54" s="258">
        <v>1330</v>
      </c>
      <c r="C54" s="258">
        <v>1493</v>
      </c>
      <c r="D54" s="258">
        <v>1875</v>
      </c>
      <c r="E54" s="258">
        <v>2714</v>
      </c>
      <c r="F54" s="258">
        <v>3303</v>
      </c>
      <c r="G54" s="258">
        <v>3798</v>
      </c>
      <c r="H54" s="258">
        <v>4294</v>
      </c>
    </row>
    <row r="55" spans="1:8" ht="15">
      <c r="A55" s="257">
        <v>95831</v>
      </c>
      <c r="B55" s="258">
        <v>1145</v>
      </c>
      <c r="C55" s="258">
        <v>1286</v>
      </c>
      <c r="D55" s="258">
        <v>1624</v>
      </c>
      <c r="E55" s="258">
        <v>2344</v>
      </c>
      <c r="F55" s="258">
        <v>2856</v>
      </c>
      <c r="G55" s="258">
        <v>3284</v>
      </c>
      <c r="H55" s="258">
        <v>3713</v>
      </c>
    </row>
    <row r="56" spans="1:8" ht="15">
      <c r="A56" s="257">
        <v>95832</v>
      </c>
      <c r="B56" s="258">
        <v>1112</v>
      </c>
      <c r="C56" s="258">
        <v>1254</v>
      </c>
      <c r="D56" s="258">
        <v>1581</v>
      </c>
      <c r="E56" s="258">
        <v>2278</v>
      </c>
      <c r="F56" s="258">
        <v>2780</v>
      </c>
      <c r="G56" s="258">
        <v>3196</v>
      </c>
      <c r="H56" s="258">
        <v>3613</v>
      </c>
    </row>
    <row r="57" spans="1:8" ht="15">
      <c r="A57" s="257">
        <v>95833</v>
      </c>
      <c r="B57" s="258">
        <v>1123</v>
      </c>
      <c r="C57" s="258">
        <v>1264</v>
      </c>
      <c r="D57" s="258">
        <v>1591</v>
      </c>
      <c r="E57" s="258">
        <v>2300</v>
      </c>
      <c r="F57" s="258">
        <v>2790</v>
      </c>
      <c r="G57" s="258">
        <v>3209</v>
      </c>
      <c r="H57" s="258">
        <v>3628</v>
      </c>
    </row>
    <row r="58" spans="1:8" ht="15">
      <c r="A58" s="257">
        <v>95834</v>
      </c>
      <c r="B58" s="258">
        <v>1014</v>
      </c>
      <c r="C58" s="258">
        <v>1145</v>
      </c>
      <c r="D58" s="258">
        <v>1439</v>
      </c>
      <c r="E58" s="258">
        <v>2071</v>
      </c>
      <c r="F58" s="258">
        <v>2529</v>
      </c>
      <c r="G58" s="258">
        <v>2908</v>
      </c>
      <c r="H58" s="258">
        <v>3287</v>
      </c>
    </row>
    <row r="59" spans="1:8" ht="15">
      <c r="A59" s="257">
        <v>95835</v>
      </c>
      <c r="B59" s="258">
        <v>1428</v>
      </c>
      <c r="C59" s="258">
        <v>1602</v>
      </c>
      <c r="D59" s="258">
        <v>2017</v>
      </c>
      <c r="E59" s="258">
        <v>2910</v>
      </c>
      <c r="F59" s="258">
        <v>3543</v>
      </c>
      <c r="G59" s="258">
        <v>4074</v>
      </c>
      <c r="H59" s="258">
        <v>4605</v>
      </c>
    </row>
    <row r="60" spans="1:8" ht="15">
      <c r="A60" s="259">
        <v>95836</v>
      </c>
      <c r="B60" s="260">
        <v>960</v>
      </c>
      <c r="C60" s="260">
        <v>1020</v>
      </c>
      <c r="D60" s="260">
        <v>1300</v>
      </c>
      <c r="E60" s="260">
        <v>1850</v>
      </c>
      <c r="F60" s="260">
        <v>2240</v>
      </c>
      <c r="G60" s="260"/>
      <c r="H60" s="260"/>
    </row>
    <row r="61" spans="1:8" ht="15">
      <c r="A61" s="257">
        <v>95837</v>
      </c>
      <c r="B61" s="258">
        <v>1057</v>
      </c>
      <c r="C61" s="258">
        <v>1123</v>
      </c>
      <c r="D61" s="258">
        <v>1450</v>
      </c>
      <c r="E61" s="258">
        <v>2082</v>
      </c>
      <c r="F61" s="258">
        <v>2529</v>
      </c>
      <c r="G61" s="258">
        <v>2908</v>
      </c>
      <c r="H61" s="258">
        <v>3287</v>
      </c>
    </row>
    <row r="62" spans="1:8" ht="15">
      <c r="A62" s="257">
        <v>95838</v>
      </c>
      <c r="B62" s="258">
        <v>970</v>
      </c>
      <c r="C62" s="258">
        <v>1090</v>
      </c>
      <c r="D62" s="258">
        <v>1373</v>
      </c>
      <c r="E62" s="258">
        <v>1984</v>
      </c>
      <c r="F62" s="258">
        <v>2409</v>
      </c>
      <c r="G62" s="258">
        <v>2770</v>
      </c>
      <c r="H62" s="258">
        <v>3132</v>
      </c>
    </row>
    <row r="63" spans="1:8" ht="15">
      <c r="A63" s="257">
        <v>95841</v>
      </c>
      <c r="B63" s="258">
        <v>948</v>
      </c>
      <c r="C63" s="258">
        <v>1068</v>
      </c>
      <c r="D63" s="258">
        <v>1341</v>
      </c>
      <c r="E63" s="258">
        <v>1929</v>
      </c>
      <c r="F63" s="258">
        <v>2354</v>
      </c>
      <c r="G63" s="258">
        <v>2708</v>
      </c>
      <c r="H63" s="258">
        <v>3061</v>
      </c>
    </row>
    <row r="64" spans="1:8" ht="15">
      <c r="A64" s="257">
        <v>95842</v>
      </c>
      <c r="B64" s="258">
        <v>992</v>
      </c>
      <c r="C64" s="258">
        <v>1112</v>
      </c>
      <c r="D64" s="258">
        <v>1406</v>
      </c>
      <c r="E64" s="258">
        <v>2027</v>
      </c>
      <c r="F64" s="258">
        <v>2463</v>
      </c>
      <c r="G64" s="258">
        <v>2833</v>
      </c>
      <c r="H64" s="258">
        <v>3202</v>
      </c>
    </row>
    <row r="65" spans="1:8" ht="15">
      <c r="A65" s="257">
        <v>95843</v>
      </c>
      <c r="B65" s="258">
        <v>1112</v>
      </c>
      <c r="C65" s="258">
        <v>1243</v>
      </c>
      <c r="D65" s="258">
        <v>1570</v>
      </c>
      <c r="E65" s="258">
        <v>2267</v>
      </c>
      <c r="F65" s="258">
        <v>2758</v>
      </c>
      <c r="G65" s="258">
        <v>3171</v>
      </c>
      <c r="H65" s="258">
        <v>3585</v>
      </c>
    </row>
    <row r="66" spans="1:8" ht="15">
      <c r="A66" s="259">
        <v>95851</v>
      </c>
      <c r="B66" s="260">
        <v>1030</v>
      </c>
      <c r="C66" s="260">
        <v>1160</v>
      </c>
      <c r="D66" s="260">
        <v>1460</v>
      </c>
      <c r="E66" s="260">
        <v>2090</v>
      </c>
      <c r="F66" s="260">
        <v>2530</v>
      </c>
      <c r="G66" s="260"/>
      <c r="H66" s="260"/>
    </row>
    <row r="67" spans="1:8" ht="15">
      <c r="A67" s="259">
        <v>95852</v>
      </c>
      <c r="B67" s="260">
        <v>1030</v>
      </c>
      <c r="C67" s="260">
        <v>1160</v>
      </c>
      <c r="D67" s="260">
        <v>1460</v>
      </c>
      <c r="E67" s="260">
        <v>2090</v>
      </c>
      <c r="F67" s="260">
        <v>2530</v>
      </c>
      <c r="G67" s="260"/>
      <c r="H67" s="260"/>
    </row>
    <row r="68" spans="1:8" ht="15">
      <c r="A68" s="259">
        <v>95853</v>
      </c>
      <c r="B68" s="260">
        <v>1030</v>
      </c>
      <c r="C68" s="260">
        <v>1160</v>
      </c>
      <c r="D68" s="260">
        <v>1460</v>
      </c>
      <c r="E68" s="260">
        <v>2090</v>
      </c>
      <c r="F68" s="260">
        <v>2530</v>
      </c>
      <c r="G68" s="260"/>
      <c r="H68" s="260"/>
    </row>
    <row r="69" spans="1:8" ht="15">
      <c r="A69" s="259">
        <v>95860</v>
      </c>
      <c r="B69" s="260">
        <v>1030</v>
      </c>
      <c r="C69" s="260">
        <v>1160</v>
      </c>
      <c r="D69" s="260">
        <v>1460</v>
      </c>
      <c r="E69" s="260">
        <v>2090</v>
      </c>
      <c r="F69" s="260">
        <v>2530</v>
      </c>
      <c r="G69" s="260"/>
      <c r="H69" s="260"/>
    </row>
    <row r="70" spans="1:8" ht="15">
      <c r="A70" s="257">
        <v>95864</v>
      </c>
      <c r="B70" s="258">
        <v>1199</v>
      </c>
      <c r="C70" s="258">
        <v>1352</v>
      </c>
      <c r="D70" s="258">
        <v>1700</v>
      </c>
      <c r="E70" s="258">
        <v>2453</v>
      </c>
      <c r="F70" s="258">
        <v>2987</v>
      </c>
      <c r="G70" s="258">
        <v>3435</v>
      </c>
      <c r="H70" s="258">
        <v>3883</v>
      </c>
    </row>
    <row r="71" spans="1:8" ht="15">
      <c r="A71" s="259">
        <v>95865</v>
      </c>
      <c r="B71" s="260">
        <v>1030</v>
      </c>
      <c r="C71" s="260">
        <v>1160</v>
      </c>
      <c r="D71" s="260">
        <v>1460</v>
      </c>
      <c r="E71" s="260">
        <v>2090</v>
      </c>
      <c r="F71" s="260">
        <v>2530</v>
      </c>
      <c r="G71" s="260"/>
      <c r="H71" s="260"/>
    </row>
    <row r="72" spans="1:8" ht="15">
      <c r="A72" s="259">
        <v>95866</v>
      </c>
      <c r="B72" s="260">
        <v>1030</v>
      </c>
      <c r="C72" s="260">
        <v>1160</v>
      </c>
      <c r="D72" s="260">
        <v>1460</v>
      </c>
      <c r="E72" s="260">
        <v>2090</v>
      </c>
      <c r="F72" s="260">
        <v>2530</v>
      </c>
      <c r="G72" s="260"/>
      <c r="H72" s="260"/>
    </row>
  </sheetData>
  <mergeCells count="2">
    <mergeCell ref="I2:J2"/>
    <mergeCell ref="B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0"/>
  <sheetViews>
    <sheetView workbookViewId="0">
      <selection activeCell="J29" sqref="J29"/>
    </sheetView>
  </sheetViews>
  <sheetFormatPr defaultRowHeight="12.75"/>
  <cols>
    <col min="1" max="1" width="13.28515625" customWidth="1"/>
    <col min="2" max="2" width="31.7109375" bestFit="1" customWidth="1"/>
    <col min="10" max="10" width="13" customWidth="1"/>
    <col min="11" max="11" width="26.140625" customWidth="1"/>
    <col min="12" max="12" width="12.140625" customWidth="1"/>
    <col min="13" max="13" width="9.85546875" customWidth="1"/>
  </cols>
  <sheetData>
    <row r="1" spans="1:17" ht="13.5" thickBot="1">
      <c r="B1" s="417" t="s">
        <v>132</v>
      </c>
      <c r="C1" s="418"/>
      <c r="D1" s="418"/>
      <c r="E1" s="418"/>
      <c r="F1" s="418"/>
      <c r="G1" s="418"/>
      <c r="H1" s="4"/>
      <c r="I1" s="4"/>
      <c r="J1" s="4"/>
      <c r="K1" s="4"/>
      <c r="L1" s="4"/>
      <c r="M1" s="4"/>
      <c r="N1" s="4"/>
      <c r="O1" s="4"/>
      <c r="P1" s="4"/>
    </row>
    <row r="2" spans="1:17" ht="14.25" thickTop="1" thickBot="1">
      <c r="B2" s="246" t="s">
        <v>335</v>
      </c>
      <c r="C2" s="247">
        <v>0</v>
      </c>
      <c r="D2" s="247">
        <v>1</v>
      </c>
      <c r="E2" s="247">
        <v>2</v>
      </c>
      <c r="F2" s="247">
        <v>3</v>
      </c>
      <c r="G2" s="247">
        <v>4</v>
      </c>
      <c r="H2" s="248">
        <v>5</v>
      </c>
      <c r="I2" s="242"/>
      <c r="J2" s="4"/>
      <c r="K2" s="246" t="s">
        <v>336</v>
      </c>
      <c r="L2" s="247">
        <v>0</v>
      </c>
      <c r="M2" s="247">
        <v>1</v>
      </c>
      <c r="N2" s="247">
        <v>2</v>
      </c>
      <c r="O2" s="247">
        <v>3</v>
      </c>
      <c r="P2" s="247">
        <v>4</v>
      </c>
      <c r="Q2" s="248">
        <v>5</v>
      </c>
    </row>
    <row r="3" spans="1:17" ht="13.5" thickTop="1">
      <c r="B3" s="419" t="s">
        <v>136</v>
      </c>
      <c r="C3" s="419"/>
      <c r="D3" s="419"/>
      <c r="E3" s="419"/>
      <c r="F3" s="419"/>
      <c r="G3" s="419"/>
      <c r="H3" s="419"/>
      <c r="I3" s="243"/>
      <c r="J3" s="4"/>
      <c r="K3" s="419" t="s">
        <v>136</v>
      </c>
      <c r="L3" s="419"/>
      <c r="M3" s="419"/>
      <c r="N3" s="419"/>
      <c r="O3" s="419"/>
      <c r="P3" s="419"/>
      <c r="Q3" s="419"/>
    </row>
    <row r="4" spans="1:17">
      <c r="A4" s="404" t="s">
        <v>263</v>
      </c>
      <c r="B4" s="240" t="s">
        <v>134</v>
      </c>
      <c r="C4" s="241">
        <v>13</v>
      </c>
      <c r="D4" s="241">
        <v>16</v>
      </c>
      <c r="E4" s="241">
        <v>18</v>
      </c>
      <c r="F4" s="241">
        <v>20</v>
      </c>
      <c r="G4" s="241">
        <v>22</v>
      </c>
      <c r="H4" s="241">
        <v>24</v>
      </c>
      <c r="I4" s="244"/>
      <c r="J4" s="404" t="s">
        <v>263</v>
      </c>
      <c r="K4" s="240" t="s">
        <v>134</v>
      </c>
      <c r="L4" s="241">
        <v>19</v>
      </c>
      <c r="M4" s="241">
        <v>22</v>
      </c>
      <c r="N4" s="241">
        <v>24</v>
      </c>
      <c r="O4" s="241">
        <v>28</v>
      </c>
      <c r="P4" s="241">
        <v>30</v>
      </c>
      <c r="Q4" s="241">
        <v>32</v>
      </c>
    </row>
    <row r="5" spans="1:17">
      <c r="A5" s="405"/>
      <c r="B5" s="240" t="s">
        <v>135</v>
      </c>
      <c r="C5" s="241">
        <v>11</v>
      </c>
      <c r="D5" s="241">
        <v>12</v>
      </c>
      <c r="E5" s="241">
        <v>16</v>
      </c>
      <c r="F5" s="241">
        <v>19</v>
      </c>
      <c r="G5" s="241">
        <v>22</v>
      </c>
      <c r="H5" s="241">
        <v>25</v>
      </c>
      <c r="I5" s="244"/>
      <c r="J5" s="405"/>
      <c r="K5" s="240" t="s">
        <v>135</v>
      </c>
      <c r="L5" s="241">
        <v>16</v>
      </c>
      <c r="M5" s="241">
        <v>18</v>
      </c>
      <c r="N5" s="241">
        <v>22</v>
      </c>
      <c r="O5" s="241">
        <v>26</v>
      </c>
      <c r="P5" s="241">
        <v>30</v>
      </c>
      <c r="Q5" s="241">
        <v>34</v>
      </c>
    </row>
    <row r="6" spans="1:17">
      <c r="B6" s="413" t="s">
        <v>249</v>
      </c>
      <c r="C6" s="413"/>
      <c r="D6" s="413"/>
      <c r="E6" s="413"/>
      <c r="F6" s="413"/>
      <c r="G6" s="413"/>
      <c r="H6" s="413"/>
      <c r="I6" s="243"/>
      <c r="J6" s="4"/>
      <c r="K6" s="413" t="s">
        <v>137</v>
      </c>
      <c r="L6" s="413"/>
      <c r="M6" s="413"/>
      <c r="N6" s="413"/>
      <c r="O6" s="413"/>
      <c r="P6" s="413"/>
      <c r="Q6" s="413"/>
    </row>
    <row r="7" spans="1:17">
      <c r="A7" s="404" t="s">
        <v>263</v>
      </c>
      <c r="B7" s="240" t="s">
        <v>134</v>
      </c>
      <c r="C7" s="241">
        <v>3</v>
      </c>
      <c r="D7" s="241">
        <v>3</v>
      </c>
      <c r="E7" s="241">
        <v>6</v>
      </c>
      <c r="F7" s="241">
        <v>7</v>
      </c>
      <c r="G7" s="241">
        <v>9</v>
      </c>
      <c r="H7" s="241">
        <v>10</v>
      </c>
      <c r="I7" s="244"/>
      <c r="J7" s="404" t="s">
        <v>263</v>
      </c>
      <c r="K7" s="240" t="s">
        <v>134</v>
      </c>
      <c r="L7" s="241">
        <v>3</v>
      </c>
      <c r="M7" s="241">
        <v>3</v>
      </c>
      <c r="N7" s="241">
        <v>6</v>
      </c>
      <c r="O7" s="241">
        <v>7</v>
      </c>
      <c r="P7" s="241">
        <v>9</v>
      </c>
      <c r="Q7" s="241">
        <v>10</v>
      </c>
    </row>
    <row r="8" spans="1:17">
      <c r="A8" s="405"/>
      <c r="B8" s="240" t="s">
        <v>147</v>
      </c>
      <c r="C8" s="241">
        <v>5</v>
      </c>
      <c r="D8" s="241">
        <v>6</v>
      </c>
      <c r="E8" s="241">
        <v>8</v>
      </c>
      <c r="F8" s="241">
        <v>11</v>
      </c>
      <c r="G8" s="241">
        <v>14</v>
      </c>
      <c r="H8" s="241">
        <v>16</v>
      </c>
      <c r="I8" s="244"/>
      <c r="J8" s="405"/>
      <c r="K8" s="240" t="s">
        <v>147</v>
      </c>
      <c r="L8" s="241">
        <v>5</v>
      </c>
      <c r="M8" s="241">
        <v>6</v>
      </c>
      <c r="N8" s="241">
        <v>8</v>
      </c>
      <c r="O8" s="241">
        <v>11</v>
      </c>
      <c r="P8" s="241">
        <v>14</v>
      </c>
      <c r="Q8" s="241">
        <v>16</v>
      </c>
    </row>
    <row r="9" spans="1:17">
      <c r="B9" s="413" t="s">
        <v>147</v>
      </c>
      <c r="C9" s="413"/>
      <c r="D9" s="413"/>
      <c r="E9" s="413"/>
      <c r="F9" s="413"/>
      <c r="G9" s="413"/>
      <c r="H9" s="413"/>
      <c r="I9" s="243"/>
      <c r="J9" s="4"/>
      <c r="K9" s="413" t="s">
        <v>147</v>
      </c>
      <c r="L9" s="413"/>
      <c r="M9" s="413"/>
      <c r="N9" s="413"/>
      <c r="O9" s="413"/>
      <c r="P9" s="413"/>
      <c r="Q9" s="413"/>
    </row>
    <row r="10" spans="1:17">
      <c r="B10" s="240" t="s">
        <v>138</v>
      </c>
      <c r="C10" s="241">
        <v>19</v>
      </c>
      <c r="D10" s="241">
        <v>22</v>
      </c>
      <c r="E10" s="241">
        <v>30</v>
      </c>
      <c r="F10" s="241">
        <v>39</v>
      </c>
      <c r="G10" s="241">
        <v>48</v>
      </c>
      <c r="H10" s="241">
        <v>56</v>
      </c>
      <c r="I10" s="244"/>
      <c r="J10" s="4"/>
      <c r="K10" s="240" t="s">
        <v>138</v>
      </c>
      <c r="L10" s="241">
        <v>23</v>
      </c>
      <c r="M10" s="241">
        <v>28</v>
      </c>
      <c r="N10" s="241">
        <v>38</v>
      </c>
      <c r="O10" s="241">
        <v>49</v>
      </c>
      <c r="P10" s="241">
        <v>60</v>
      </c>
      <c r="Q10" s="241">
        <v>71</v>
      </c>
    </row>
    <row r="11" spans="1:17">
      <c r="B11" s="413" t="s">
        <v>139</v>
      </c>
      <c r="C11" s="413"/>
      <c r="D11" s="413"/>
      <c r="E11" s="413"/>
      <c r="F11" s="413"/>
      <c r="G11" s="413"/>
      <c r="H11" s="413"/>
      <c r="I11" s="243"/>
      <c r="J11" s="4"/>
      <c r="K11" s="413" t="s">
        <v>261</v>
      </c>
      <c r="L11" s="413"/>
      <c r="M11" s="413"/>
      <c r="N11" s="413"/>
      <c r="O11" s="413"/>
      <c r="P11" s="413"/>
      <c r="Q11" s="413"/>
    </row>
    <row r="12" spans="1:17">
      <c r="B12" s="240" t="s">
        <v>139</v>
      </c>
      <c r="C12" s="241">
        <v>8</v>
      </c>
      <c r="D12" s="241">
        <v>9</v>
      </c>
      <c r="E12" s="241">
        <v>12</v>
      </c>
      <c r="F12" s="241">
        <v>16</v>
      </c>
      <c r="G12" s="241">
        <v>19</v>
      </c>
      <c r="H12" s="241">
        <v>23</v>
      </c>
      <c r="I12" s="244"/>
      <c r="J12" s="4"/>
      <c r="K12" s="240" t="s">
        <v>139</v>
      </c>
      <c r="L12" s="241">
        <v>8</v>
      </c>
      <c r="M12" s="241">
        <v>9</v>
      </c>
      <c r="N12" s="241">
        <v>15</v>
      </c>
      <c r="O12" s="241">
        <v>22</v>
      </c>
      <c r="P12" s="241">
        <v>28</v>
      </c>
      <c r="Q12" s="241">
        <v>34</v>
      </c>
    </row>
    <row r="13" spans="1:17">
      <c r="B13" s="413" t="s">
        <v>140</v>
      </c>
      <c r="C13" s="413"/>
      <c r="D13" s="413"/>
      <c r="E13" s="413"/>
      <c r="F13" s="413"/>
      <c r="G13" s="413"/>
      <c r="H13" s="413"/>
      <c r="I13" s="243"/>
      <c r="J13" s="4"/>
      <c r="K13" s="413" t="s">
        <v>140</v>
      </c>
      <c r="L13" s="413"/>
      <c r="M13" s="413"/>
      <c r="N13" s="413"/>
      <c r="O13" s="413"/>
      <c r="P13" s="413"/>
      <c r="Q13" s="413"/>
    </row>
    <row r="14" spans="1:17">
      <c r="A14" s="404" t="s">
        <v>263</v>
      </c>
      <c r="B14" s="240" t="s">
        <v>134</v>
      </c>
      <c r="C14" s="241">
        <v>7</v>
      </c>
      <c r="D14" s="241">
        <v>8</v>
      </c>
      <c r="E14" s="241">
        <v>11</v>
      </c>
      <c r="F14" s="241">
        <v>14</v>
      </c>
      <c r="G14" s="241">
        <v>19</v>
      </c>
      <c r="H14" s="241">
        <v>22</v>
      </c>
      <c r="I14" s="244"/>
      <c r="J14" s="404" t="s">
        <v>263</v>
      </c>
      <c r="K14" s="240" t="s">
        <v>134</v>
      </c>
      <c r="L14" s="241">
        <v>9</v>
      </c>
      <c r="M14" s="241">
        <v>10</v>
      </c>
      <c r="N14" s="241">
        <v>14</v>
      </c>
      <c r="O14" s="241">
        <v>19</v>
      </c>
      <c r="P14" s="241">
        <v>23</v>
      </c>
      <c r="Q14" s="241">
        <v>28</v>
      </c>
    </row>
    <row r="15" spans="1:17">
      <c r="A15" s="405"/>
      <c r="B15" s="240" t="s">
        <v>135</v>
      </c>
      <c r="C15" s="241">
        <v>11</v>
      </c>
      <c r="D15" s="241">
        <v>13</v>
      </c>
      <c r="E15" s="241">
        <v>17</v>
      </c>
      <c r="F15" s="241">
        <v>21</v>
      </c>
      <c r="G15" s="241">
        <v>25</v>
      </c>
      <c r="H15" s="241">
        <v>28</v>
      </c>
      <c r="I15" s="244"/>
      <c r="J15" s="405"/>
      <c r="K15" s="240" t="s">
        <v>135</v>
      </c>
      <c r="L15" s="241">
        <v>14</v>
      </c>
      <c r="M15" s="241">
        <v>17</v>
      </c>
      <c r="N15" s="241">
        <v>21</v>
      </c>
      <c r="O15" s="241">
        <v>26</v>
      </c>
      <c r="P15" s="241">
        <v>31</v>
      </c>
      <c r="Q15" s="241">
        <v>35</v>
      </c>
    </row>
    <row r="16" spans="1:17">
      <c r="B16" s="413" t="s">
        <v>141</v>
      </c>
      <c r="C16" s="413"/>
      <c r="D16" s="413"/>
      <c r="E16" s="413"/>
      <c r="F16" s="413"/>
      <c r="G16" s="413"/>
      <c r="H16" s="413"/>
      <c r="I16" s="243"/>
      <c r="J16" s="4"/>
      <c r="K16" s="413" t="s">
        <v>141</v>
      </c>
      <c r="L16" s="413"/>
      <c r="M16" s="413"/>
      <c r="N16" s="413"/>
      <c r="O16" s="413"/>
      <c r="P16" s="413"/>
      <c r="Q16" s="413"/>
    </row>
    <row r="17" spans="2:17">
      <c r="B17" s="240" t="s">
        <v>142</v>
      </c>
      <c r="C17" s="241">
        <v>39</v>
      </c>
      <c r="D17" s="241">
        <v>39</v>
      </c>
      <c r="E17" s="241">
        <v>41</v>
      </c>
      <c r="F17" s="241">
        <v>44</v>
      </c>
      <c r="G17" s="241">
        <v>46</v>
      </c>
      <c r="H17" s="241">
        <v>48</v>
      </c>
      <c r="I17" s="244"/>
      <c r="J17" s="4"/>
      <c r="K17" s="240" t="s">
        <v>142</v>
      </c>
      <c r="L17" s="241">
        <v>39</v>
      </c>
      <c r="M17" s="241">
        <v>39</v>
      </c>
      <c r="N17" s="241">
        <v>41</v>
      </c>
      <c r="O17" s="241">
        <v>44</v>
      </c>
      <c r="P17" s="241">
        <v>46</v>
      </c>
      <c r="Q17" s="241">
        <v>48</v>
      </c>
    </row>
    <row r="18" spans="2:17">
      <c r="B18" s="240" t="s">
        <v>143</v>
      </c>
      <c r="C18" s="241">
        <v>36</v>
      </c>
      <c r="D18" s="241">
        <v>36</v>
      </c>
      <c r="E18" s="241">
        <v>36</v>
      </c>
      <c r="F18" s="241">
        <v>36</v>
      </c>
      <c r="G18" s="241">
        <v>36</v>
      </c>
      <c r="H18" s="241">
        <v>36</v>
      </c>
      <c r="I18" s="244"/>
      <c r="J18" s="4"/>
      <c r="K18" s="240" t="s">
        <v>143</v>
      </c>
      <c r="L18" s="241">
        <v>36</v>
      </c>
      <c r="M18" s="241">
        <v>36</v>
      </c>
      <c r="N18" s="241">
        <v>36</v>
      </c>
      <c r="O18" s="241">
        <v>36</v>
      </c>
      <c r="P18" s="241">
        <v>36</v>
      </c>
      <c r="Q18" s="241">
        <v>36</v>
      </c>
    </row>
    <row r="19" spans="2:17">
      <c r="B19" s="240" t="s">
        <v>144</v>
      </c>
      <c r="C19" s="241">
        <v>31</v>
      </c>
      <c r="D19" s="241">
        <v>31</v>
      </c>
      <c r="E19" s="241">
        <v>31</v>
      </c>
      <c r="F19" s="241">
        <v>31</v>
      </c>
      <c r="G19" s="241">
        <v>31</v>
      </c>
      <c r="H19" s="241">
        <v>31</v>
      </c>
      <c r="I19" s="244"/>
      <c r="J19" s="4"/>
      <c r="K19" s="240" t="s">
        <v>144</v>
      </c>
      <c r="L19" s="241">
        <v>31</v>
      </c>
      <c r="M19" s="241">
        <v>31</v>
      </c>
      <c r="N19" s="241">
        <v>31</v>
      </c>
      <c r="O19" s="241">
        <v>31</v>
      </c>
      <c r="P19" s="241">
        <v>31</v>
      </c>
      <c r="Q19" s="241">
        <v>31</v>
      </c>
    </row>
    <row r="20" spans="2:17">
      <c r="B20" s="413" t="s">
        <v>145</v>
      </c>
      <c r="C20" s="413"/>
      <c r="D20" s="413"/>
      <c r="E20" s="413"/>
      <c r="F20" s="413"/>
      <c r="G20" s="413"/>
      <c r="H20" s="413"/>
      <c r="I20" s="243"/>
      <c r="J20" s="4"/>
      <c r="K20" s="413" t="s">
        <v>145</v>
      </c>
      <c r="L20" s="413"/>
      <c r="M20" s="413"/>
      <c r="N20" s="413"/>
      <c r="O20" s="413"/>
      <c r="P20" s="413"/>
      <c r="Q20" s="413"/>
    </row>
    <row r="21" spans="2:17">
      <c r="B21" s="240" t="s">
        <v>146</v>
      </c>
      <c r="C21" s="241">
        <v>11</v>
      </c>
      <c r="D21" s="241">
        <v>11</v>
      </c>
      <c r="E21" s="241">
        <v>11</v>
      </c>
      <c r="F21" s="241">
        <v>11</v>
      </c>
      <c r="G21" s="241">
        <v>11</v>
      </c>
      <c r="H21" s="241">
        <v>11</v>
      </c>
      <c r="I21" s="244"/>
      <c r="J21" s="4"/>
      <c r="K21" s="240" t="s">
        <v>146</v>
      </c>
      <c r="L21" s="241">
        <v>11</v>
      </c>
      <c r="M21" s="241">
        <v>11</v>
      </c>
      <c r="N21" s="241">
        <v>11</v>
      </c>
      <c r="O21" s="241">
        <v>11</v>
      </c>
      <c r="P21" s="241">
        <v>11</v>
      </c>
      <c r="Q21" s="241">
        <v>11</v>
      </c>
    </row>
    <row r="22" spans="2:17">
      <c r="B22" s="240" t="s">
        <v>259</v>
      </c>
      <c r="C22" s="241">
        <v>12</v>
      </c>
      <c r="D22" s="241">
        <v>12</v>
      </c>
      <c r="E22" s="241">
        <v>12</v>
      </c>
      <c r="F22" s="241">
        <v>12</v>
      </c>
      <c r="G22" s="241">
        <v>12</v>
      </c>
      <c r="H22" s="241">
        <v>12</v>
      </c>
      <c r="I22" s="244"/>
      <c r="J22" s="4"/>
      <c r="K22" s="240" t="s">
        <v>259</v>
      </c>
      <c r="L22" s="241">
        <v>12</v>
      </c>
      <c r="M22" s="241">
        <v>12</v>
      </c>
      <c r="N22" s="241">
        <v>12</v>
      </c>
      <c r="O22" s="241">
        <v>12</v>
      </c>
      <c r="P22" s="241">
        <v>12</v>
      </c>
      <c r="Q22" s="241">
        <v>12</v>
      </c>
    </row>
    <row r="23" spans="2:17">
      <c r="B23" s="413" t="s">
        <v>256</v>
      </c>
      <c r="C23" s="413"/>
      <c r="D23" s="413"/>
      <c r="E23" s="413"/>
      <c r="F23" s="413"/>
      <c r="G23" s="413"/>
      <c r="H23" s="413"/>
      <c r="I23" s="243"/>
      <c r="J23" s="4"/>
      <c r="K23" s="413" t="s">
        <v>256</v>
      </c>
      <c r="L23" s="413"/>
      <c r="M23" s="413"/>
      <c r="N23" s="413"/>
      <c r="O23" s="413"/>
      <c r="P23" s="413"/>
      <c r="Q23" s="413"/>
    </row>
    <row r="24" spans="2:17">
      <c r="B24" s="236" t="s">
        <v>256</v>
      </c>
      <c r="C24" s="237">
        <v>20</v>
      </c>
      <c r="D24" s="237">
        <v>20</v>
      </c>
      <c r="E24" s="237">
        <v>20</v>
      </c>
      <c r="F24" s="237">
        <v>20</v>
      </c>
      <c r="G24" s="237">
        <v>20</v>
      </c>
      <c r="H24" s="237">
        <v>20</v>
      </c>
      <c r="I24" s="245"/>
      <c r="K24" s="236" t="s">
        <v>256</v>
      </c>
      <c r="L24" s="237">
        <v>20</v>
      </c>
      <c r="M24" s="237">
        <v>20</v>
      </c>
      <c r="N24" s="237">
        <v>20</v>
      </c>
      <c r="O24" s="237">
        <v>20</v>
      </c>
      <c r="P24" s="237">
        <v>20</v>
      </c>
      <c r="Q24" s="237">
        <v>20</v>
      </c>
    </row>
    <row r="25" spans="2:17">
      <c r="H25" s="82"/>
    </row>
    <row r="26" spans="2:17">
      <c r="B26" s="403" t="s">
        <v>342</v>
      </c>
      <c r="C26" s="403"/>
      <c r="D26" s="403"/>
      <c r="F26" s="414" t="s">
        <v>154</v>
      </c>
      <c r="G26" s="415"/>
      <c r="H26" s="415"/>
      <c r="I26" s="415"/>
      <c r="J26" s="416"/>
    </row>
    <row r="27" spans="2:17">
      <c r="B27" s="403"/>
      <c r="C27" s="403"/>
      <c r="D27" s="403"/>
      <c r="F27" s="239"/>
      <c r="G27" s="408" t="s">
        <v>133</v>
      </c>
      <c r="H27" s="408"/>
      <c r="I27" s="409"/>
      <c r="J27" s="92">
        <f>'Rental Calculator'!C5</f>
        <v>0</v>
      </c>
    </row>
    <row r="28" spans="2:17">
      <c r="B28" s="403"/>
      <c r="C28" s="403"/>
      <c r="D28" s="403"/>
      <c r="F28" s="239"/>
      <c r="G28" s="408" t="s">
        <v>150</v>
      </c>
      <c r="H28" s="408"/>
      <c r="I28" s="409"/>
      <c r="J28" s="93">
        <f>'Rental Calculator'!C7</f>
        <v>0</v>
      </c>
    </row>
    <row r="29" spans="2:17">
      <c r="F29" s="239"/>
      <c r="G29" s="408" t="s">
        <v>151</v>
      </c>
      <c r="H29" s="408"/>
      <c r="I29" s="409"/>
      <c r="J29" s="166">
        <v>0</v>
      </c>
    </row>
    <row r="30" spans="2:17">
      <c r="F30" s="239"/>
      <c r="G30" s="408" t="s">
        <v>152</v>
      </c>
      <c r="H30" s="408"/>
      <c r="I30" s="409"/>
      <c r="J30" s="166">
        <v>0</v>
      </c>
    </row>
    <row r="31" spans="2:17">
      <c r="F31" s="239"/>
      <c r="G31" s="408" t="s">
        <v>147</v>
      </c>
      <c r="H31" s="408"/>
      <c r="I31" s="409"/>
      <c r="J31" s="166">
        <v>0</v>
      </c>
    </row>
    <row r="32" spans="2:17">
      <c r="F32" s="239"/>
      <c r="G32" s="406" t="s">
        <v>139</v>
      </c>
      <c r="H32" s="406"/>
      <c r="I32" s="407"/>
      <c r="J32" s="166">
        <v>0</v>
      </c>
    </row>
    <row r="33" spans="6:11">
      <c r="F33" s="239"/>
      <c r="G33" s="408" t="s">
        <v>153</v>
      </c>
      <c r="H33" s="408"/>
      <c r="I33" s="409"/>
      <c r="J33" s="166">
        <v>0</v>
      </c>
    </row>
    <row r="34" spans="6:11">
      <c r="F34" s="239"/>
      <c r="G34" s="408" t="s">
        <v>262</v>
      </c>
      <c r="H34" s="408"/>
      <c r="I34" s="409"/>
      <c r="J34" s="166">
        <v>0</v>
      </c>
    </row>
    <row r="35" spans="6:11">
      <c r="F35" s="239"/>
      <c r="G35" s="406" t="s">
        <v>143</v>
      </c>
      <c r="H35" s="406"/>
      <c r="I35" s="407"/>
      <c r="J35" s="166">
        <v>0</v>
      </c>
    </row>
    <row r="36" spans="6:11">
      <c r="F36" s="239"/>
      <c r="G36" s="406" t="s">
        <v>255</v>
      </c>
      <c r="H36" s="406"/>
      <c r="I36" s="407"/>
      <c r="J36" s="166">
        <v>0</v>
      </c>
    </row>
    <row r="37" spans="6:11">
      <c r="F37" s="412" t="s">
        <v>258</v>
      </c>
      <c r="G37" s="408"/>
      <c r="H37" s="408"/>
      <c r="I37" s="409"/>
      <c r="J37" s="166">
        <v>0</v>
      </c>
    </row>
    <row r="38" spans="6:11">
      <c r="F38" s="239"/>
      <c r="G38" s="406" t="s">
        <v>260</v>
      </c>
      <c r="H38" s="406"/>
      <c r="I38" s="407"/>
      <c r="J38" s="166">
        <v>0</v>
      </c>
    </row>
    <row r="39" spans="6:11">
      <c r="F39" s="239"/>
      <c r="G39" s="408" t="s">
        <v>257</v>
      </c>
      <c r="H39" s="408"/>
      <c r="I39" s="409"/>
      <c r="J39" s="238">
        <v>20</v>
      </c>
    </row>
    <row r="40" spans="6:11" ht="15">
      <c r="F40" s="239"/>
      <c r="G40" s="410" t="s">
        <v>172</v>
      </c>
      <c r="H40" s="410"/>
      <c r="I40" s="411"/>
      <c r="J40" s="266">
        <f>SUM(J29:J39)</f>
        <v>20</v>
      </c>
      <c r="K40" s="272" t="str">
        <f>IF((J40&gt;=341),"High Dollar Alert","")</f>
        <v/>
      </c>
    </row>
  </sheetData>
  <sheetProtection algorithmName="SHA-512" hashValue="MFhiTldWjQ86bfJqisXdog6F2GehS1cpMofp06TgW2c8y72zfnDYPjdn1nMY/YaX5jBbDTVbAHqpX0t443cReQ==" saltValue="HGHHua62JHta5S9tycl8Ig==" spinCount="100000" sheet="1" selectLockedCells="1"/>
  <mergeCells count="39">
    <mergeCell ref="K11:Q11"/>
    <mergeCell ref="B1:G1"/>
    <mergeCell ref="K20:Q20"/>
    <mergeCell ref="K23:Q23"/>
    <mergeCell ref="B3:H3"/>
    <mergeCell ref="K3:Q3"/>
    <mergeCell ref="K6:Q6"/>
    <mergeCell ref="K9:Q9"/>
    <mergeCell ref="K13:Q13"/>
    <mergeCell ref="K16:Q16"/>
    <mergeCell ref="B23:H23"/>
    <mergeCell ref="B20:H20"/>
    <mergeCell ref="B16:H16"/>
    <mergeCell ref="B13:H13"/>
    <mergeCell ref="B9:H9"/>
    <mergeCell ref="B6:H6"/>
    <mergeCell ref="G38:I38"/>
    <mergeCell ref="G39:I39"/>
    <mergeCell ref="G40:I40"/>
    <mergeCell ref="F37:I37"/>
    <mergeCell ref="B11:H11"/>
    <mergeCell ref="G32:I32"/>
    <mergeCell ref="G33:I33"/>
    <mergeCell ref="G34:I34"/>
    <mergeCell ref="G35:I35"/>
    <mergeCell ref="G36:I36"/>
    <mergeCell ref="G27:I27"/>
    <mergeCell ref="G28:I28"/>
    <mergeCell ref="G29:I29"/>
    <mergeCell ref="G30:I30"/>
    <mergeCell ref="G31:I31"/>
    <mergeCell ref="F26:J26"/>
    <mergeCell ref="B26:D28"/>
    <mergeCell ref="A4:A5"/>
    <mergeCell ref="A7:A8"/>
    <mergeCell ref="A14:A15"/>
    <mergeCell ref="J4:J5"/>
    <mergeCell ref="J7:J8"/>
    <mergeCell ref="J14:J15"/>
  </mergeCells>
  <pageMargins left="0" right="0" top="0.5" bottom="0.5" header="0.3" footer="0.3"/>
  <pageSetup scale="67" orientation="landscape" horizontalDpi="1200" verticalDpi="1200" r:id="rId1"/>
  <headerFooter>
    <oddFooter>&amp;RRevision Date 11/20/20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52"/>
  <sheetViews>
    <sheetView topLeftCell="A34" workbookViewId="0">
      <selection activeCell="A57" sqref="A57"/>
    </sheetView>
  </sheetViews>
  <sheetFormatPr defaultColWidth="51.5703125" defaultRowHeight="12.75"/>
  <cols>
    <col min="1" max="1" width="47.28515625" customWidth="1"/>
    <col min="2" max="2" width="80.5703125" style="299" customWidth="1"/>
  </cols>
  <sheetData>
    <row r="1" spans="1:2">
      <c r="A1" s="420" t="s">
        <v>338</v>
      </c>
      <c r="B1" s="420"/>
    </row>
    <row r="2" spans="1:2">
      <c r="A2" s="83"/>
    </row>
    <row r="3" spans="1:2">
      <c r="A3" s="83" t="s">
        <v>276</v>
      </c>
    </row>
    <row r="4" spans="1:2">
      <c r="A4" s="301" t="s">
        <v>332</v>
      </c>
      <c r="B4" s="300" t="s">
        <v>333</v>
      </c>
    </row>
    <row r="5" spans="1:2" ht="25.5">
      <c r="A5" s="302" t="s">
        <v>299</v>
      </c>
      <c r="B5" s="303" t="s">
        <v>107</v>
      </c>
    </row>
    <row r="6" spans="1:2" ht="25.5">
      <c r="A6" s="302" t="s">
        <v>281</v>
      </c>
      <c r="B6" s="303" t="s">
        <v>314</v>
      </c>
    </row>
    <row r="7" spans="1:2">
      <c r="A7" s="302" t="s">
        <v>158</v>
      </c>
      <c r="B7" s="303" t="s">
        <v>315</v>
      </c>
    </row>
    <row r="8" spans="1:2">
      <c r="A8" s="302"/>
      <c r="B8" s="303"/>
    </row>
    <row r="9" spans="1:2">
      <c r="A9" s="304" t="s">
        <v>277</v>
      </c>
      <c r="B9" s="303"/>
    </row>
    <row r="10" spans="1:2" ht="25.5">
      <c r="A10" s="302" t="s">
        <v>316</v>
      </c>
      <c r="B10" s="303" t="s">
        <v>319</v>
      </c>
    </row>
    <row r="11" spans="1:2" ht="17.45" customHeight="1">
      <c r="A11" s="302" t="s">
        <v>320</v>
      </c>
      <c r="B11" s="303" t="s">
        <v>321</v>
      </c>
    </row>
    <row r="12" spans="1:2" ht="25.5">
      <c r="A12" s="302" t="s">
        <v>317</v>
      </c>
      <c r="B12" s="303" t="s">
        <v>318</v>
      </c>
    </row>
    <row r="13" spans="1:2">
      <c r="A13" s="302"/>
      <c r="B13" s="303"/>
    </row>
    <row r="14" spans="1:2">
      <c r="A14" s="304" t="s">
        <v>278</v>
      </c>
      <c r="B14" s="303"/>
    </row>
    <row r="15" spans="1:2">
      <c r="A15" s="302" t="s">
        <v>285</v>
      </c>
      <c r="B15" s="303" t="s">
        <v>322</v>
      </c>
    </row>
    <row r="16" spans="1:2">
      <c r="A16" s="302" t="s">
        <v>286</v>
      </c>
      <c r="B16" s="303" t="s">
        <v>109</v>
      </c>
    </row>
    <row r="17" spans="1:2">
      <c r="A17" s="302" t="s">
        <v>287</v>
      </c>
      <c r="B17" s="300" t="s">
        <v>110</v>
      </c>
    </row>
    <row r="18" spans="1:2" ht="30.95" customHeight="1">
      <c r="A18" s="302" t="s">
        <v>288</v>
      </c>
      <c r="B18" s="300" t="s">
        <v>111</v>
      </c>
    </row>
    <row r="19" spans="1:2">
      <c r="A19" s="302"/>
      <c r="B19" s="303"/>
    </row>
    <row r="20" spans="1:2">
      <c r="A20" s="304" t="s">
        <v>279</v>
      </c>
      <c r="B20" s="303"/>
    </row>
    <row r="21" spans="1:2">
      <c r="A21" s="302" t="s">
        <v>289</v>
      </c>
      <c r="B21" s="303" t="s">
        <v>108</v>
      </c>
    </row>
    <row r="22" spans="1:2">
      <c r="A22" s="302" t="s">
        <v>282</v>
      </c>
      <c r="B22" s="303" t="s">
        <v>112</v>
      </c>
    </row>
    <row r="23" spans="1:2">
      <c r="A23" s="302"/>
      <c r="B23" s="303"/>
    </row>
    <row r="24" spans="1:2">
      <c r="A24" s="305" t="s">
        <v>280</v>
      </c>
      <c r="B24" s="303"/>
    </row>
    <row r="25" spans="1:2">
      <c r="A25" s="301" t="s">
        <v>290</v>
      </c>
      <c r="B25" s="303" t="s">
        <v>323</v>
      </c>
    </row>
    <row r="26" spans="1:2" ht="25.5">
      <c r="A26" s="301" t="s">
        <v>291</v>
      </c>
      <c r="B26" s="303" t="s">
        <v>324</v>
      </c>
    </row>
    <row r="27" spans="1:2" ht="38.25">
      <c r="A27" s="302"/>
      <c r="B27" s="306" t="s">
        <v>271</v>
      </c>
    </row>
    <row r="28" spans="1:2">
      <c r="A28" s="307" t="s">
        <v>292</v>
      </c>
      <c r="B28" s="300" t="s">
        <v>325</v>
      </c>
    </row>
    <row r="29" spans="1:2">
      <c r="A29" s="301" t="s">
        <v>293</v>
      </c>
      <c r="B29" s="300" t="s">
        <v>108</v>
      </c>
    </row>
    <row r="30" spans="1:2">
      <c r="A30" s="301"/>
      <c r="B30" s="300"/>
    </row>
    <row r="31" spans="1:2">
      <c r="A31" s="304" t="s">
        <v>283</v>
      </c>
      <c r="B31" s="300"/>
    </row>
    <row r="32" spans="1:2">
      <c r="A32" s="301" t="s">
        <v>300</v>
      </c>
      <c r="B32" s="300" t="s">
        <v>108</v>
      </c>
    </row>
    <row r="33" spans="1:3">
      <c r="A33" s="301" t="s">
        <v>301</v>
      </c>
      <c r="B33" s="300" t="s">
        <v>108</v>
      </c>
    </row>
    <row r="34" spans="1:3">
      <c r="A34" s="301" t="s">
        <v>302</v>
      </c>
      <c r="B34" s="300" t="s">
        <v>326</v>
      </c>
    </row>
    <row r="35" spans="1:3">
      <c r="A35" s="302"/>
      <c r="B35" s="303"/>
    </row>
    <row r="36" spans="1:3">
      <c r="A36" s="304" t="s">
        <v>284</v>
      </c>
      <c r="B36" s="303"/>
    </row>
    <row r="37" spans="1:3">
      <c r="A37" s="301" t="s">
        <v>303</v>
      </c>
      <c r="B37" s="300" t="s">
        <v>113</v>
      </c>
    </row>
    <row r="38" spans="1:3">
      <c r="A38" s="301" t="s">
        <v>304</v>
      </c>
      <c r="B38" s="300" t="s">
        <v>114</v>
      </c>
    </row>
    <row r="39" spans="1:3">
      <c r="A39" s="301" t="s">
        <v>305</v>
      </c>
      <c r="B39" s="300" t="s">
        <v>115</v>
      </c>
    </row>
    <row r="40" spans="1:3">
      <c r="A40" s="301" t="s">
        <v>306</v>
      </c>
      <c r="B40" s="300" t="s">
        <v>116</v>
      </c>
    </row>
    <row r="41" spans="1:3">
      <c r="A41" s="301"/>
      <c r="B41" s="300"/>
    </row>
    <row r="42" spans="1:3">
      <c r="A42" s="301" t="s">
        <v>307</v>
      </c>
      <c r="B42" s="300" t="s">
        <v>294</v>
      </c>
    </row>
    <row r="43" spans="1:3">
      <c r="A43" s="301" t="s">
        <v>308</v>
      </c>
      <c r="B43" s="300" t="s">
        <v>295</v>
      </c>
    </row>
    <row r="44" spans="1:3">
      <c r="A44" s="301" t="s">
        <v>309</v>
      </c>
      <c r="B44" s="300" t="s">
        <v>296</v>
      </c>
    </row>
    <row r="45" spans="1:3">
      <c r="A45" s="301" t="s">
        <v>328</v>
      </c>
      <c r="B45" s="300" t="s">
        <v>329</v>
      </c>
    </row>
    <row r="46" spans="1:3">
      <c r="A46" s="301"/>
      <c r="B46" s="300"/>
    </row>
    <row r="47" spans="1:3">
      <c r="A47" s="304" t="s">
        <v>188</v>
      </c>
      <c r="B47" s="300"/>
    </row>
    <row r="48" spans="1:3">
      <c r="A48" s="301" t="s">
        <v>310</v>
      </c>
      <c r="B48" s="300" t="s">
        <v>297</v>
      </c>
      <c r="C48" s="186"/>
    </row>
    <row r="49" spans="1:6">
      <c r="A49" s="301" t="s">
        <v>311</v>
      </c>
      <c r="B49" s="300" t="s">
        <v>298</v>
      </c>
      <c r="C49" s="186"/>
      <c r="D49" s="186"/>
      <c r="E49" s="186"/>
      <c r="F49" s="186"/>
    </row>
    <row r="50" spans="1:6" ht="25.5">
      <c r="A50" s="300" t="s">
        <v>312</v>
      </c>
      <c r="B50" s="300" t="s">
        <v>108</v>
      </c>
      <c r="C50" s="186"/>
      <c r="D50" s="186"/>
      <c r="E50" s="186"/>
      <c r="F50" s="186"/>
    </row>
    <row r="51" spans="1:6">
      <c r="A51" s="301" t="s">
        <v>313</v>
      </c>
      <c r="B51" s="300" t="s">
        <v>108</v>
      </c>
      <c r="C51" s="186"/>
      <c r="D51" s="186"/>
      <c r="E51" s="186"/>
      <c r="F51" s="186"/>
    </row>
    <row r="52" spans="1:6">
      <c r="A52" s="186"/>
      <c r="B52" s="270"/>
      <c r="C52" s="186"/>
      <c r="D52" s="186"/>
      <c r="E52" s="186"/>
      <c r="F52" s="186"/>
    </row>
  </sheetData>
  <sheetProtection algorithmName="SHA-512" hashValue="qV5BqzxnfqmOybsttVeuwSzK/0AXRyqWaOxpcbapkCTah0R1/cqVMknJITu16tgj+b0BfGsWqX2GLoKfaSpcVg==" saltValue="uP1/+zpGrNhI3d6pRGxwyQ==" spinCount="100000" sheet="1" objects="1" scenarios="1"/>
  <mergeCells count="1">
    <mergeCell ref="A1:B1"/>
  </mergeCells>
  <pageMargins left="0" right="0" top="0.5" bottom="0.5" header="0.3" footer="0.3"/>
  <pageSetup scale="83" orientation="portrait" r:id="rId1"/>
  <headerFooter>
    <oddFooter>&amp;RRevision Date 11/20/20</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02FD10B3ACD647A7E924548583F51E" ma:contentTypeVersion="2" ma:contentTypeDescription="Create a new document." ma:contentTypeScope="" ma:versionID="c88097dbcd4c227cc7ab58e9bd564654">
  <xsd:schema xmlns:xsd="http://www.w3.org/2001/XMLSchema" xmlns:xs="http://www.w3.org/2001/XMLSchema" xmlns:p="http://schemas.microsoft.com/office/2006/metadata/properties" xmlns:ns1="http://schemas.microsoft.com/sharepoint/v3" xmlns:ns2="dac84087-7c16-4ba2-98ee-fd1ea314e6cc" targetNamespace="http://schemas.microsoft.com/office/2006/metadata/properties" ma:root="true" ma:fieldsID="e08cc3886c448a26645c37b3be599e73" ns1:_="" ns2:_="">
    <xsd:import namespace="http://schemas.microsoft.com/sharepoint/v3"/>
    <xsd:import namespace="dac84087-7c16-4ba2-98ee-fd1ea314e6c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c84087-7c16-4ba2-98ee-fd1ea314e6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A04894-A5E6-4479-8463-145736A38A13}"/>
</file>

<file path=customXml/itemProps2.xml><?xml version="1.0" encoding="utf-8"?>
<ds:datastoreItem xmlns:ds="http://schemas.openxmlformats.org/officeDocument/2006/customXml" ds:itemID="{749DF267-8AB5-44E4-B738-981C0A54AD1C}"/>
</file>

<file path=customXml/itemProps3.xml><?xml version="1.0" encoding="utf-8"?>
<ds:datastoreItem xmlns:ds="http://schemas.openxmlformats.org/officeDocument/2006/customXml" ds:itemID="{D79274E4-1CF6-4AA8-BA5B-090FA6CD2A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Sheet7</vt:lpstr>
      <vt:lpstr>Source_Occupancy</vt:lpstr>
      <vt:lpstr>60%</vt:lpstr>
      <vt:lpstr>70%</vt:lpstr>
      <vt:lpstr>80%</vt:lpstr>
      <vt:lpstr>Rental Calculator</vt:lpstr>
      <vt:lpstr>FMRZIP_AMI</vt:lpstr>
      <vt:lpstr>Utility Max Calculator</vt:lpstr>
      <vt:lpstr>Area Descriptions</vt:lpstr>
      <vt:lpstr>Cells notes (hide)</vt:lpstr>
      <vt:lpstr>Notes</vt:lpstr>
      <vt:lpstr>Rent Reasonableness Worksheet</vt:lpstr>
      <vt:lpstr>OCCUPANCY_days in month</vt:lpstr>
      <vt:lpstr>'60%'!Print_Area</vt:lpstr>
      <vt:lpstr>'70%'!Print_Area</vt:lpstr>
      <vt:lpstr>'80%'!Print_Area</vt:lpstr>
      <vt:lpstr>'Area Descriptions'!Print_Area</vt:lpstr>
      <vt:lpstr>'Rent Reasonableness Worksheet'!Print_Area</vt:lpstr>
      <vt:lpstr>'Rental Calculator'!Print_Area</vt:lpstr>
      <vt:lpstr>'Utility Max Calculator'!Print_Area</vt:lpstr>
    </vt:vector>
  </TitlesOfParts>
  <Company>CTED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Sacramento County Behavioral Health Services</dc:creator>
  <cp:lastModifiedBy>Sheridan. Michael</cp:lastModifiedBy>
  <cp:lastPrinted>2020-11-20T16:57:36Z</cp:lastPrinted>
  <dcterms:created xsi:type="dcterms:W3CDTF">2001-03-12T22:10:27Z</dcterms:created>
  <dcterms:modified xsi:type="dcterms:W3CDTF">2020-11-23T22:06:47Z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0x010100A602FD10B3ACD647A7E924548583F51E</vt:lpwstr>
  </property>
</Properties>
</file>